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autoCompressPictures="0" defaultThemeVersion="124226"/>
  <xr:revisionPtr revIDLastSave="2" documentId="8_{18C38F90-19C1-4B09-B1F5-93BCA9B78C6B}" xr6:coauthVersionLast="47" xr6:coauthVersionMax="47" xr10:uidLastSave="{12BBE7BA-9622-46F6-BACE-CE63756E1E94}"/>
  <bookViews>
    <workbookView xWindow="-108" yWindow="-108" windowWidth="23256" windowHeight="13896" tabRatio="607" activeTab="2" xr2:uid="{00000000-000D-0000-FFFF-FFFF00000000}"/>
  </bookViews>
  <sheets>
    <sheet name="Income statement" sheetId="9" r:id="rId1"/>
    <sheet name="Balance sheet" sheetId="8" r:id="rId2"/>
    <sheet name="Cashflow" sheetId="7" r:id="rId3"/>
  </sheets>
  <definedNames>
    <definedName name="__LM8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LM8">#REF!</definedName>
    <definedName name="_Order1" hidden="1">255</definedName>
    <definedName name="_Order2" hidden="1">0</definedName>
    <definedName name="_vena_MDYNR_SSummary_BB1_49c3c984_5fa2255f">#REF!</definedName>
    <definedName name="_vena_MDYNR_SSummary_BB1_49c3c984_e1c9481a">#REF!</definedName>
    <definedName name="_vena_Summary_B1_C_12_1320992142036172800">#REF!</definedName>
    <definedName name="_vena_Summary_B1_C_12_1320993564047835136">#REF!</definedName>
    <definedName name="_vena_Summary_B1_C_12_1322661151487950848">#REF!</definedName>
    <definedName name="_vena_Summary_B1_R_FV_385b1d086d8a4b8abf43c04eedb00d88_49c3c984.e1c9481a">#REF!</definedName>
    <definedName name="_vena_Summary_B1_R_FV_a2a46c4bae444ba2ab0e2971d74e2ddb_49c3c984.5fa2255f">#REF!</definedName>
    <definedName name="Beg_Bal">#REF!</definedName>
    <definedName name="Beginning_balance">#REF!</definedName>
    <definedName name="CBWorkbookPriority" hidden="1">-832886459</definedName>
    <definedName name="COEF.GAS">#REF!</definedName>
    <definedName name="CurrentMonth">#REF!</definedName>
    <definedName name="CurrentMth">#REF!</definedName>
    <definedName name="Data">#REF!</definedName>
    <definedName name="department">#REF!</definedName>
    <definedName name="Dept">#REF!</definedName>
    <definedName name="DME_Dirty" hidden="1">"False"</definedName>
    <definedName name="DME_LocalFile" hidden="1">"True"</definedName>
    <definedName name="End_Bal">#REF!</definedName>
    <definedName name="erfggr">#REF!</definedName>
    <definedName name="Extra_Pay">#REF!</definedName>
    <definedName name="FlagProtectSheet">#REF!</definedName>
    <definedName name="Full_Print">#REF!</definedName>
    <definedName name="Header_Row">ROW(#REF!)</definedName>
    <definedName name="Int">#REF!</definedName>
    <definedName name="Interest_Rate">#REF!</definedName>
    <definedName name="Last_Row">#N/A</definedName>
    <definedName name="LInvestSubsi">#REF!</definedName>
    <definedName name="List_OPEX">OFFSET(#REF!,1,0)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">#REF!</definedName>
    <definedName name="Pal_Workbook_GUID" hidden="1">"7I2GCAXXSP3QVUNWC3YZZWG6"</definedName>
    <definedName name="Pay_Date">#REF!</definedName>
    <definedName name="Pay_Num">#REF!</definedName>
    <definedName name="Payment_Date">DATE(YEAR(Loan_Start),MONTH(Loan_Start)+Payment_Number,DAY(Loan_Start))</definedName>
    <definedName name="Princ">#REF!</definedName>
    <definedName name="_xlnm.Print_Area" localSheetId="1">'Balance sheet'!$A$1:$V$37</definedName>
    <definedName name="_xlnm.Print_Area" localSheetId="2">Cashflow!$A$1:$AA$41</definedName>
    <definedName name="_xlnm.Print_Area" localSheetId="0">'Income statement'!$A$1:$AC$28</definedName>
    <definedName name="Print_Area_Reset">OFFSET(Full_Print,0,0,Last_Row)</definedName>
    <definedName name="Range7">#REF!</definedName>
    <definedName name="Resource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election_Department">#REF!</definedName>
    <definedName name="Selection_Entity">#REF!</definedName>
    <definedName name="Slicer_Budget_Version">CUBESET("General Ledger model","{"&amp;"[Budget Full Year].[Budget Version].&amp;[Current]"&amp;"}")</definedName>
    <definedName name="Slicer_Budget_Version1" hidden="1">CUBESET("General Ledger model","{"&amp;"[Budget Full Year].[Budget Version].&amp;[Current]"&amp;"}")</definedName>
    <definedName name="Slicer_BudgetYear">CUBESET("General Ledger model","{"&amp;"[Budget Full Year].[BudgetYear].&amp;[2016]"&amp;"}")</definedName>
    <definedName name="Slicer_Code_E">CUBESET("General Ledger model","{"&amp;"[Department].[Code_E].[All]"&amp;"}")</definedName>
    <definedName name="Slicer_Code_E1" hidden="1">CUBESET("General Ledger model","{"&amp;"[Department].[Code_E].[All]"&amp;"}")</definedName>
    <definedName name="Slicer_Company1">CUBESET("General Ledger model","{"&amp;"[Company].[Company].[All]"&amp;"}")</definedName>
    <definedName name="Slicer_Country">CUBESET("General Ledger model","{"&amp;"[Company].[Country].[All]"&amp;"}")</definedName>
    <definedName name="Slicer_Country1" hidden="1">CUBESET("General Ledger model","{"&amp;"[Company].[Country].[All]"&amp;"}")</definedName>
    <definedName name="Slicer_CurrencyCode1">CUBESET("General Ledger model","{"&amp;"[Currency].[CurrencyCode].[All]"&amp;"}")</definedName>
    <definedName name="Slicer_Department">CUBESET("General Ledger model","{"&amp;"[Department].[Department].&amp;"&amp;","&amp;"[Department].[Department].&amp;[-1]"&amp;","&amp;"[Department].[Department].&amp;[Admin]"&amp;","&amp;"[Department].[Department].&amp;[BD]"&amp;","&amp;"[Department].[Department].&amp;[Commercial Group]"&amp;","&amp;"[Department].[Department].&amp;[Consultants]"&amp;","&amp;"[Department].[Department].&amp;[Corporate BWO Ltd.]"&amp;","&amp;"[Department].[Department].&amp;[Engineering Group]"&amp;","&amp;"[Department].[Department].&amp;[Finance &amp; Systems]"&amp;","&amp;"[Department].[Department].&amp;[Fleet]"&amp;","&amp;"[Department].[Department].&amp;[Human Capital]"&amp;","&amp;"[Department].[Department].&amp;[Legal]"&amp;","&amp;"[Department].[Department].&amp;[Project Group]"&amp;","&amp;"[Department].[Department].&amp;[Target]"&amp;","&amp;"[Department].[Department].&amp;[Top Management]"&amp;"}")</definedName>
    <definedName name="Slicer_Department1">CUBESET("General Ledger model","{"&amp;"[Department].[Department].&amp;"&amp;","&amp;"[Department].[Department].&amp;[-1]"&amp;","&amp;"[Department].[Department].&amp;[Admin]"&amp;","&amp;"[Department].[Department].&amp;[BD]"&amp;","&amp;"[Department].[Department].&amp;[Commercial Group]"&amp;","&amp;"[Department].[Department].&amp;[Consultants]"&amp;","&amp;"[Department].[Department].&amp;[Corporate BWO Ltd.]"&amp;","&amp;"[Department].[Department].&amp;[Engineering Group]"&amp;","&amp;"[Department].[Department].&amp;[Finance &amp; Systems]"&amp;","&amp;"[Department].[Department].&amp;[Fleet]"&amp;","&amp;"[Department].[Department].&amp;[Human Capital]"&amp;","&amp;"[Department].[Department].&amp;[Legal]"&amp;","&amp;"[Department].[Department].&amp;[Project Group]"&amp;","&amp;"[Department].[Department].&amp;[Target]"&amp;","&amp;"[Department].[Department].&amp;[Top Management]"&amp;"}")</definedName>
    <definedName name="Slicer_Month">CUBESET("General Ledger model","{"&amp;"[Date].[Month].&amp;[1]"&amp;","&amp;"[Date].[Month].&amp;[10]"&amp;","&amp;"[Date].[Month].&amp;[11]"&amp;","&amp;"[Date].[Month].&amp;[12]"&amp;","&amp;"[Date].[Month].&amp;[2]"&amp;","&amp;"[Date].[Month].&amp;[3]"&amp;","&amp;"[Date].[Month].&amp;[4]"&amp;","&amp;"[Date].[Month].&amp;[5]"&amp;","&amp;"[Date].[Month].&amp;[6]"&amp;","&amp;"[Date].[Month].&amp;[7]"&amp;","&amp;"[Date].[Month].&amp;[8]"&amp;","&amp;"[Date].[Month].&amp;[9]"&amp;"}")</definedName>
    <definedName name="Slicer_Month11">CUBESET("General Ledger model","{"&amp;"[Date].[Month].&amp;[7]"&amp;"}")</definedName>
    <definedName name="Slicer_Month5">CUBESET("General Ledger model","{"&amp;"[Date].[Month].&amp;[1]"&amp;","&amp;"[Date].[Month].&amp;[2]"&amp;","&amp;"[Date].[Month].&amp;[3]"&amp;","&amp;"[Date].[Month].&amp;[4]"&amp;","&amp;"[Date].[Month].&amp;[5]"&amp;","&amp;"[Date].[Month].&amp;[6]"&amp;"}")</definedName>
    <definedName name="Slicer_ProfitCenter">CUBESET("General Ledger model","{"&amp;"[Profit Center].[ProfitCenter].&amp;[ADM]"&amp;"}")</definedName>
    <definedName name="Slicer_ProfitCenter1">CUBESET("General Ledger model","{"&amp;"[Profit Center].[ProfitCenter].&amp;[ADM]"&amp;"}")</definedName>
    <definedName name="Slicer_ProfitCenter2">CUBESET("General Ledger model","{"&amp;"[Profit Center].[ProfitCenter].&amp;[ADM]"&amp;"}")</definedName>
    <definedName name="Slicer_SubDepartment">CUBESET("General Ledger model","{"&amp;"[Department].[SubDepartment].[All]"&amp;"}")</definedName>
    <definedName name="Slicer_SubDepartment1" hidden="1">CUBESET("General Ledger model","{"&amp;"[Department].[SubDepartment].[All]"&amp;"}")</definedName>
    <definedName name="Slicer_VesselCode11">CUBESET("General Ledger model","{"&amp;"[Vessel].[VesselCode].&amp;[ABO]"&amp;","&amp;"[Vessel].[VesselCode].&amp;[ASP]"&amp;","&amp;"[Vessel].[VesselCode].&amp;[ATH]"&amp;","&amp;"[Vessel].[VesselCode].&amp;[ATH2]"&amp;","&amp;"[Vessel].[VesselCode].&amp;[AZU]"&amp;","&amp;"[Vessel].[VesselCode].&amp;[BEA]"&amp;","&amp;"[Vessel].[VesselCode].&amp;[CAT]"&amp;","&amp;"[Vessel].[VesselCode].&amp;[COV]"&amp;","&amp;"[Vessel].[VesselCode].&amp;[CSM]"&amp;","&amp;"[Vessel].[VesselCode].&amp;[CSMR]"&amp;","&amp;"[Vessel].[VesselCode].&amp;[CSV]"&amp;","&amp;"[Vessel].[VesselCode].&amp;[END]"&amp;","&amp;"[Vessel].[VesselCode].&amp;[ESP]"&amp;","&amp;"[Vessel].[VesselCode].&amp;[HEE]"&amp;","&amp;"[Vessel].[VesselCode].&amp;[JOT]"&amp;","&amp;"[Vessel].[VesselCode].&amp;[NGV]"&amp;","&amp;"[Vessel].[VesselCode].&amp;[OPA]"&amp;","&amp;"[Vessel].[VesselCode].&amp;[P63]"&amp;","&amp;"[Vessel].[VesselCode].&amp;[PER]"&amp;","&amp;"[Vessel].[VesselCode].&amp;[PIO]"&amp;","&amp;"[Vessel].[VesselCode].&amp;[PNA]"&amp;","&amp;"[Vessel].[VesselCode].&amp;[POL]"&amp;","&amp;"[Vessel].[VesselCode].&amp;[PREV]"&amp;","&amp;"[Vessel].[VesselCode].&amp;[SEE]"&amp;","&amp;"[Vessel].[VesselCode].&amp;[STB]"&amp;","&amp;"[Vessel].[VesselCode].&amp;[TMS]"&amp;","&amp;"[Vessel].[VesselCode].&amp;[TRV]"&amp;","&amp;"[Vessel].[VesselCode].&amp;[UMU]"&amp;","&amp;"[Vessel].[VesselCode].&amp;[YKN]"&amp;"}")</definedName>
    <definedName name="Slicer_VesselCode7">CUBESET("General Ledger model","{"&amp;"[Vessel].[VesselCode].&amp;[PNA]"&amp;"}")</definedName>
    <definedName name="Slicer_VesselCode71">CUBESET("General Ledger model","{"&amp;"[Vessel].[VesselCode].&amp;[POL]"&amp;"}")</definedName>
    <definedName name="Slicer_VesselCode72">CUBESET("General Ledger model","{"&amp;"[Vessel].[VesselCode].&amp;[ESP]"&amp;"}")</definedName>
    <definedName name="Slicer_VesselCode73">CUBESET("General Ledger model","{"&amp;"[Vessel].[VesselCode].&amp;[ESP]"&amp;"}")</definedName>
    <definedName name="Slicer_VesselCode74">CUBESET("General Ledger model","{"&amp;"[Vessel].[VesselCode].&amp;[PNA]"&amp;"}")</definedName>
    <definedName name="Slicer_VesselCode75">CUBESET("General Ledger model","{"&amp;"[Vessel].[VesselCode].&amp;[HEE]"&amp;"}")</definedName>
    <definedName name="Slicer_Year">CUBESET("General Ledger model","{"&amp;"[Date].[Year].&amp;[2016]"&amp;"}")</definedName>
    <definedName name="Slicer_Year11">CUBESET("General Ledger model","{"&amp;"[Date].[Year].&amp;[2015]"&amp;"}")</definedName>
    <definedName name="Slicer_Year7">CUBESET("General Ledger model","{"&amp;"[Date].[Year].&amp;[2016]"&amp;"}")</definedName>
    <definedName name="Slicer_Year71">CUBESET("General Ledger model","{"&amp;"[Date].[Year].&amp;[2016]"&amp;"}")</definedName>
    <definedName name="Slicer_Year72">CUBESET("General Ledger model","{"&amp;"[Date].[Year].&amp;[2016]"&amp;"}")</definedName>
    <definedName name="Slicer_Year73">CUBESET("General Ledger model","{"&amp;"[Date].[Year].&amp;[2016]"&amp;"}")</definedName>
    <definedName name="Slicer_Year74">CUBESET("General Ledger model","{"&amp;"[Date].[Year].&amp;[2016]"&amp;"}")</definedName>
    <definedName name="Total_Interest">#REF!</definedName>
    <definedName name="Total_Pay">#REF!</definedName>
    <definedName name="Total_Payment">Scheduled_Payment+Extra_Payment</definedName>
    <definedName name="type">#REF!</definedName>
    <definedName name="Values_Entered">IF(Loan_Amount*Interest_Rate*Loan_Years*Loan_Start&gt;0,1,0)</definedName>
    <definedName name="VERSION">#REF!</definedName>
    <definedName name="VERSION3">#REF!</definedName>
    <definedName name="vessel">#REF!</definedName>
    <definedName name="x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6" i="9" l="1"/>
  <c r="AE38" i="9" s="1"/>
  <c r="AD36" i="9"/>
  <c r="AD38" i="9" s="1"/>
  <c r="AC36" i="9"/>
  <c r="AC38" i="9" s="1"/>
  <c r="AB36" i="9"/>
  <c r="AB38" i="9" s="1"/>
  <c r="AA36" i="9"/>
  <c r="AA38" i="9" s="1"/>
  <c r="Z36" i="9"/>
  <c r="Z38" i="9" s="1"/>
  <c r="Y36" i="9"/>
  <c r="Y38" i="9" s="1"/>
  <c r="X36" i="9"/>
  <c r="X38" i="9" s="1"/>
  <c r="W36" i="9"/>
  <c r="W38" i="9" s="1"/>
  <c r="V36" i="9"/>
  <c r="V38" i="9" s="1"/>
  <c r="U36" i="9"/>
  <c r="T36" i="9"/>
  <c r="S36" i="9"/>
  <c r="S38" i="9" s="1"/>
  <c r="R36" i="9"/>
  <c r="R38" i="9" s="1"/>
  <c r="Q36" i="9"/>
  <c r="P36" i="9"/>
  <c r="O36" i="9"/>
  <c r="O38" i="9" s="1"/>
  <c r="N36" i="9"/>
  <c r="N38" i="9" s="1"/>
  <c r="M36" i="9"/>
  <c r="M38" i="9" s="1"/>
  <c r="L36" i="9"/>
  <c r="L38" i="9" s="1"/>
  <c r="K36" i="9"/>
  <c r="K38" i="9" s="1"/>
  <c r="J36" i="9"/>
  <c r="J38" i="9" s="1"/>
  <c r="I36" i="9"/>
  <c r="I38" i="9" s="1"/>
  <c r="H36" i="9"/>
  <c r="H38" i="9" s="1"/>
  <c r="G36" i="9"/>
  <c r="G38" i="9" s="1"/>
  <c r="F36" i="9"/>
  <c r="F38" i="9" s="1"/>
  <c r="E36" i="9"/>
  <c r="D36" i="9"/>
  <c r="C36" i="9"/>
  <c r="C38" i="9" s="1"/>
  <c r="B36" i="9"/>
  <c r="B38" i="9" s="1"/>
  <c r="U38" i="9"/>
  <c r="T38" i="9"/>
  <c r="Q38" i="9"/>
  <c r="P38" i="9"/>
  <c r="E38" i="9"/>
  <c r="D38" i="9"/>
  <c r="AF38" i="9"/>
  <c r="AF36" i="9"/>
  <c r="AF34" i="9"/>
  <c r="AF36" i="7"/>
  <c r="Y34" i="9" l="1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Z29" i="9"/>
  <c r="W29" i="9"/>
  <c r="V29" i="9"/>
  <c r="S29" i="9"/>
  <c r="R29" i="9"/>
  <c r="M29" i="9"/>
  <c r="L29" i="9"/>
  <c r="I29" i="9"/>
  <c r="D29" i="9"/>
  <c r="C29" i="9"/>
  <c r="Z34" i="9"/>
  <c r="AE29" i="9" l="1"/>
  <c r="AE34" i="9"/>
  <c r="AD34" i="9"/>
  <c r="AC34" i="9"/>
  <c r="AB34" i="9"/>
  <c r="AA34" i="9"/>
  <c r="AE17" i="7" l="1"/>
  <c r="AC17" i="7"/>
  <c r="AD17" i="7"/>
  <c r="Z35" i="8" l="1"/>
  <c r="Z30" i="8"/>
  <c r="Z22" i="8"/>
  <c r="Z16" i="8"/>
  <c r="Z11" i="8"/>
  <c r="AF26" i="7"/>
  <c r="AF17" i="7"/>
  <c r="AF16" i="9"/>
  <c r="AF7" i="9"/>
  <c r="AF11" i="9" s="1"/>
  <c r="Z36" i="8" l="1"/>
  <c r="Z37" i="8" s="1"/>
  <c r="Z17" i="8"/>
  <c r="AF18" i="9"/>
  <c r="AF21" i="9" s="1"/>
  <c r="AF29" i="9" s="1"/>
  <c r="AF38" i="7"/>
  <c r="AF41" i="7" s="1"/>
  <c r="AE15" i="9"/>
  <c r="AE14" i="9"/>
  <c r="AB14" i="9"/>
  <c r="AB15" i="9"/>
  <c r="Y15" i="9"/>
  <c r="Y14" i="9"/>
  <c r="V15" i="9"/>
  <c r="V14" i="9"/>
  <c r="X15" i="9"/>
  <c r="X14" i="9"/>
  <c r="W15" i="9"/>
  <c r="W14" i="9"/>
  <c r="AE36" i="7" l="1"/>
  <c r="AE26" i="7"/>
  <c r="AC36" i="7"/>
  <c r="AC26" i="7"/>
  <c r="AC38" i="7"/>
  <c r="AD37" i="7"/>
  <c r="AD35" i="7"/>
  <c r="AD34" i="7"/>
  <c r="AD33" i="7"/>
  <c r="AD32" i="7"/>
  <c r="AD31" i="7"/>
  <c r="AD30" i="7"/>
  <c r="AD29" i="7"/>
  <c r="AD28" i="7"/>
  <c r="AD27" i="7"/>
  <c r="AD25" i="7"/>
  <c r="AD24" i="7"/>
  <c r="AD23" i="7"/>
  <c r="AD22" i="7"/>
  <c r="AD21" i="7"/>
  <c r="AD20" i="7"/>
  <c r="AD19" i="7"/>
  <c r="AD26" i="7" s="1"/>
  <c r="AD18" i="7"/>
  <c r="AD16" i="7"/>
  <c r="AD15" i="7"/>
  <c r="AD14" i="7"/>
  <c r="AD13" i="7"/>
  <c r="AD12" i="7"/>
  <c r="AD11" i="7"/>
  <c r="AD10" i="7"/>
  <c r="AD9" i="7"/>
  <c r="AD8" i="7"/>
  <c r="AD7" i="7"/>
  <c r="AD6" i="7"/>
  <c r="AD5" i="7"/>
  <c r="AD14" i="9"/>
  <c r="AD15" i="9"/>
  <c r="AD20" i="9"/>
  <c r="AD13" i="9"/>
  <c r="AD9" i="9"/>
  <c r="AD6" i="9"/>
  <c r="AD5" i="9"/>
  <c r="AE38" i="7" l="1"/>
  <c r="AE41" i="7" s="1"/>
  <c r="AD36" i="7"/>
  <c r="AD38" i="7"/>
  <c r="AD41" i="7" s="1"/>
  <c r="Y35" i="8" l="1"/>
  <c r="Y30" i="8"/>
  <c r="Y22" i="8"/>
  <c r="Y16" i="8"/>
  <c r="Y11" i="8"/>
  <c r="Y17" i="8" l="1"/>
  <c r="Y36" i="8"/>
  <c r="Y37" i="8" s="1"/>
  <c r="X35" i="8" l="1"/>
  <c r="X30" i="8"/>
  <c r="X22" i="8"/>
  <c r="X16" i="8"/>
  <c r="X11" i="8"/>
  <c r="AC16" i="9"/>
  <c r="AC7" i="9"/>
  <c r="AC11" i="9" s="1"/>
  <c r="AC41" i="7" l="1"/>
  <c r="X36" i="8"/>
  <c r="X37" i="8" s="1"/>
  <c r="X17" i="8"/>
  <c r="AC18" i="9"/>
  <c r="AC21" i="9" s="1"/>
  <c r="AC29" i="9" s="1"/>
  <c r="AB17" i="7" l="1"/>
  <c r="AB36" i="7" l="1"/>
  <c r="AB26" i="7"/>
  <c r="W35" i="8"/>
  <c r="W30" i="8"/>
  <c r="W22" i="8"/>
  <c r="W16" i="8"/>
  <c r="W11" i="8"/>
  <c r="AB16" i="9"/>
  <c r="AB7" i="9"/>
  <c r="AB11" i="9" l="1"/>
  <c r="AB18" i="9"/>
  <c r="AB21" i="9" s="1"/>
  <c r="AB29" i="9" s="1"/>
  <c r="AB38" i="7"/>
  <c r="W36" i="8"/>
  <c r="W37" i="8" s="1"/>
  <c r="W17" i="8"/>
  <c r="AA36" i="7" l="1"/>
  <c r="AA26" i="7"/>
  <c r="AA17" i="7"/>
  <c r="V22" i="8"/>
  <c r="V35" i="8"/>
  <c r="V30" i="8"/>
  <c r="V16" i="8"/>
  <c r="V11" i="8"/>
  <c r="AA16" i="9"/>
  <c r="AA7" i="9"/>
  <c r="U35" i="8"/>
  <c r="Y36" i="7"/>
  <c r="Y26" i="7"/>
  <c r="Y17" i="7"/>
  <c r="Z26" i="7"/>
  <c r="Z17" i="7"/>
  <c r="U30" i="8"/>
  <c r="U16" i="8"/>
  <c r="U11" i="8"/>
  <c r="U17" i="8" l="1"/>
  <c r="AA11" i="9"/>
  <c r="AA38" i="7"/>
  <c r="AA41" i="7" s="1"/>
  <c r="AB40" i="7" s="1"/>
  <c r="AB41" i="7" s="1"/>
  <c r="Z38" i="7"/>
  <c r="Z41" i="7" s="1"/>
  <c r="V36" i="8"/>
  <c r="V37" i="8" s="1"/>
  <c r="V17" i="8"/>
  <c r="Y16" i="9"/>
  <c r="Y7" i="9"/>
  <c r="Y11" i="9" l="1"/>
  <c r="AA18" i="9"/>
  <c r="AA21" i="9" s="1"/>
  <c r="AA29" i="9" s="1"/>
  <c r="Y18" i="9"/>
  <c r="Y21" i="9" s="1"/>
  <c r="Y29" i="9" s="1"/>
  <c r="U36" i="8"/>
  <c r="U37" i="8" s="1"/>
  <c r="T10" i="8" l="1"/>
  <c r="Y37" i="7" l="1"/>
  <c r="T26" i="7" l="1"/>
  <c r="T35" i="8"/>
  <c r="T11" i="8"/>
  <c r="R11" i="8"/>
  <c r="N11" i="8"/>
  <c r="I11" i="8"/>
  <c r="H11" i="8"/>
  <c r="G11" i="8"/>
  <c r="F11" i="8"/>
  <c r="R35" i="8" l="1"/>
  <c r="R30" i="8"/>
  <c r="R22" i="8"/>
  <c r="R19" i="8"/>
  <c r="R16" i="8"/>
  <c r="R36" i="8" l="1"/>
  <c r="R37" i="8" s="1"/>
  <c r="R17" i="8"/>
  <c r="Q35" i="8"/>
  <c r="T30" i="8" l="1"/>
  <c r="T22" i="8"/>
  <c r="T19" i="8"/>
  <c r="T16" i="8"/>
  <c r="X16" i="9"/>
  <c r="X7" i="9"/>
  <c r="U20" i="9"/>
  <c r="U6" i="7"/>
  <c r="U13" i="7"/>
  <c r="U15" i="7"/>
  <c r="U10" i="7"/>
  <c r="U11" i="7"/>
  <c r="U12" i="7"/>
  <c r="U8" i="7"/>
  <c r="U34" i="7"/>
  <c r="U33" i="7"/>
  <c r="Q10" i="8"/>
  <c r="Q11" i="8" s="1"/>
  <c r="T36" i="7"/>
  <c r="U32" i="7"/>
  <c r="U31" i="7"/>
  <c r="U30" i="7"/>
  <c r="U29" i="7"/>
  <c r="U28" i="7"/>
  <c r="U25" i="7"/>
  <c r="U20" i="7"/>
  <c r="U26" i="7" l="1"/>
  <c r="X11" i="9"/>
  <c r="X18" i="9" s="1"/>
  <c r="T36" i="8"/>
  <c r="T37" i="8" s="1"/>
  <c r="T17" i="8"/>
  <c r="U15" i="9"/>
  <c r="T15" i="9" s="1"/>
  <c r="U6" i="9"/>
  <c r="T7" i="9"/>
  <c r="T14" i="9"/>
  <c r="U13" i="9"/>
  <c r="U10" i="9"/>
  <c r="U5" i="9"/>
  <c r="T11" i="9" l="1"/>
  <c r="U16" i="9"/>
  <c r="T16" i="9"/>
  <c r="T18" i="9" s="1"/>
  <c r="T21" i="9" s="1"/>
  <c r="T29" i="9" s="1"/>
  <c r="X21" i="9" l="1"/>
  <c r="X29" i="9" s="1"/>
  <c r="T40" i="7"/>
  <c r="Q22" i="8" l="1"/>
  <c r="J27" i="8" l="1"/>
  <c r="J30" i="8" s="1"/>
  <c r="J36" i="8" s="1"/>
  <c r="J37" i="8" s="1"/>
  <c r="K27" i="8"/>
  <c r="K30" i="8" s="1"/>
  <c r="K36" i="8" s="1"/>
  <c r="K37" i="8" s="1"/>
  <c r="L27" i="8"/>
  <c r="L11" i="8"/>
  <c r="M27" i="8"/>
  <c r="M11" i="8"/>
  <c r="U36" i="7"/>
  <c r="J11" i="8" l="1"/>
  <c r="J17" i="8" s="1"/>
  <c r="K11" i="8"/>
  <c r="K17" i="8" s="1"/>
  <c r="Q30" i="8"/>
  <c r="Q19" i="8"/>
  <c r="Q16" i="8"/>
  <c r="U7" i="9"/>
  <c r="U11" i="9" s="1"/>
  <c r="Q36" i="7"/>
  <c r="Q26" i="7"/>
  <c r="N35" i="8"/>
  <c r="N30" i="8"/>
  <c r="N22" i="8"/>
  <c r="N19" i="8"/>
  <c r="N16" i="8"/>
  <c r="Q16" i="9"/>
  <c r="Q7" i="9"/>
  <c r="Q11" i="9" l="1"/>
  <c r="Q36" i="8"/>
  <c r="Q37" i="8" s="1"/>
  <c r="Q17" i="8"/>
  <c r="U18" i="9"/>
  <c r="Q18" i="9"/>
  <c r="Q21" i="9" s="1"/>
  <c r="Q29" i="9" s="1"/>
  <c r="N36" i="8"/>
  <c r="N37" i="8" s="1"/>
  <c r="N17" i="8"/>
  <c r="U21" i="9" l="1"/>
  <c r="U29" i="9" s="1"/>
  <c r="Q5" i="7"/>
  <c r="K32" i="7"/>
  <c r="Q17" i="7" l="1"/>
  <c r="Q38" i="7" s="1"/>
  <c r="U5" i="7"/>
  <c r="O15" i="9"/>
  <c r="P15" i="9" s="1"/>
  <c r="P35" i="7"/>
  <c r="P31" i="7"/>
  <c r="P30" i="7"/>
  <c r="P29" i="7"/>
  <c r="P28" i="7"/>
  <c r="P20" i="7"/>
  <c r="P19" i="7"/>
  <c r="P13" i="7"/>
  <c r="P15" i="7"/>
  <c r="P10" i="7"/>
  <c r="P12" i="7"/>
  <c r="P8" i="7"/>
  <c r="O36" i="7"/>
  <c r="O26" i="7"/>
  <c r="P20" i="9"/>
  <c r="P14" i="9"/>
  <c r="P13" i="9"/>
  <c r="P10" i="9"/>
  <c r="P6" i="9"/>
  <c r="P5" i="9"/>
  <c r="O7" i="9"/>
  <c r="M35" i="8"/>
  <c r="M30" i="8"/>
  <c r="M22" i="8"/>
  <c r="M19" i="8"/>
  <c r="M16" i="8"/>
  <c r="N40" i="7"/>
  <c r="E37" i="7"/>
  <c r="N26" i="7"/>
  <c r="C35" i="8"/>
  <c r="D35" i="8"/>
  <c r="E35" i="8"/>
  <c r="F35" i="8"/>
  <c r="G35" i="8"/>
  <c r="H35" i="8"/>
  <c r="I35" i="8"/>
  <c r="L35" i="8"/>
  <c r="L30" i="8"/>
  <c r="N36" i="7"/>
  <c r="L22" i="8"/>
  <c r="L19" i="8"/>
  <c r="L16" i="8"/>
  <c r="N16" i="9"/>
  <c r="N7" i="9"/>
  <c r="J16" i="7"/>
  <c r="G16" i="7"/>
  <c r="G17" i="7" s="1"/>
  <c r="G31" i="7"/>
  <c r="G36" i="7" s="1"/>
  <c r="J19" i="7"/>
  <c r="J26" i="7" s="1"/>
  <c r="K8" i="7"/>
  <c r="K12" i="7"/>
  <c r="K35" i="7"/>
  <c r="K34" i="7"/>
  <c r="K30" i="7"/>
  <c r="K29" i="7"/>
  <c r="K28" i="7"/>
  <c r="K25" i="7"/>
  <c r="K20" i="7"/>
  <c r="K6" i="7"/>
  <c r="K13" i="7"/>
  <c r="K15" i="7"/>
  <c r="K9" i="7"/>
  <c r="K10" i="7"/>
  <c r="K11" i="7"/>
  <c r="J36" i="7"/>
  <c r="I30" i="8"/>
  <c r="I22" i="8"/>
  <c r="I19" i="8"/>
  <c r="I16" i="8"/>
  <c r="J6" i="9"/>
  <c r="K6" i="9" s="1"/>
  <c r="K20" i="9"/>
  <c r="K15" i="9"/>
  <c r="K14" i="9"/>
  <c r="K13" i="9"/>
  <c r="K10" i="9"/>
  <c r="K5" i="9"/>
  <c r="J16" i="9"/>
  <c r="I36" i="7"/>
  <c r="I26" i="7"/>
  <c r="I17" i="7"/>
  <c r="H30" i="8"/>
  <c r="H22" i="8"/>
  <c r="H19" i="8"/>
  <c r="H16" i="8"/>
  <c r="H16" i="9"/>
  <c r="H7" i="9"/>
  <c r="H11" i="9" s="1"/>
  <c r="G30" i="8"/>
  <c r="G22" i="8"/>
  <c r="G19" i="8"/>
  <c r="G16" i="8"/>
  <c r="H36" i="7"/>
  <c r="H26" i="7"/>
  <c r="H17" i="7"/>
  <c r="E11" i="8"/>
  <c r="D11" i="8"/>
  <c r="G26" i="7"/>
  <c r="F30" i="8"/>
  <c r="F22" i="8"/>
  <c r="F19" i="8"/>
  <c r="F16" i="8"/>
  <c r="G16" i="9"/>
  <c r="G7" i="9"/>
  <c r="G11" i="9" s="1"/>
  <c r="E40" i="7"/>
  <c r="F31" i="7"/>
  <c r="F36" i="7" s="1"/>
  <c r="F19" i="7"/>
  <c r="F26" i="7" s="1"/>
  <c r="E16" i="8"/>
  <c r="E19" i="8"/>
  <c r="E22" i="8"/>
  <c r="E30" i="8"/>
  <c r="E20" i="9"/>
  <c r="E15" i="9"/>
  <c r="E14" i="9"/>
  <c r="E13" i="9"/>
  <c r="E10" i="9"/>
  <c r="E6" i="9"/>
  <c r="E5" i="9"/>
  <c r="E35" i="7"/>
  <c r="E34" i="7"/>
  <c r="E30" i="7"/>
  <c r="E29" i="7"/>
  <c r="E28" i="7"/>
  <c r="E25" i="7"/>
  <c r="E20" i="7"/>
  <c r="E6" i="7"/>
  <c r="E16" i="7"/>
  <c r="E10" i="7"/>
  <c r="E9" i="7"/>
  <c r="E12" i="7"/>
  <c r="E8" i="7"/>
  <c r="E15" i="7"/>
  <c r="E7" i="7"/>
  <c r="E11" i="7"/>
  <c r="F17" i="7"/>
  <c r="B6" i="8"/>
  <c r="B11" i="8" s="1"/>
  <c r="B13" i="8"/>
  <c r="B16" i="8" s="1"/>
  <c r="D16" i="8"/>
  <c r="D19" i="8"/>
  <c r="D22" i="8"/>
  <c r="D30" i="8"/>
  <c r="F16" i="9"/>
  <c r="F7" i="9"/>
  <c r="F11" i="9" s="1"/>
  <c r="B36" i="7"/>
  <c r="B26" i="7"/>
  <c r="B5" i="7"/>
  <c r="B17" i="7" s="1"/>
  <c r="B35" i="8"/>
  <c r="B30" i="8"/>
  <c r="B20" i="8"/>
  <c r="B22" i="8" s="1"/>
  <c r="B19" i="8"/>
  <c r="B16" i="9"/>
  <c r="B7" i="9"/>
  <c r="B11" i="9" s="1"/>
  <c r="F18" i="9" l="1"/>
  <c r="N11" i="9"/>
  <c r="O11" i="9"/>
  <c r="E26" i="7"/>
  <c r="H18" i="9"/>
  <c r="H21" i="9" s="1"/>
  <c r="H29" i="9" s="1"/>
  <c r="P26" i="7"/>
  <c r="N18" i="9"/>
  <c r="N5" i="7" s="1"/>
  <c r="N17" i="7" s="1"/>
  <c r="N38" i="7" s="1"/>
  <c r="N41" i="7" s="1"/>
  <c r="O40" i="7" s="1"/>
  <c r="E16" i="9"/>
  <c r="K16" i="7"/>
  <c r="K19" i="7"/>
  <c r="K31" i="7"/>
  <c r="E11" i="9"/>
  <c r="K16" i="9"/>
  <c r="B18" i="9"/>
  <c r="B21" i="9" s="1"/>
  <c r="B29" i="9" s="1"/>
  <c r="E7" i="9"/>
  <c r="P7" i="9"/>
  <c r="P11" i="9" s="1"/>
  <c r="E17" i="7"/>
  <c r="E19" i="7"/>
  <c r="K36" i="7"/>
  <c r="E5" i="7"/>
  <c r="H38" i="7"/>
  <c r="B36" i="8"/>
  <c r="B37" i="8" s="1"/>
  <c r="F36" i="8"/>
  <c r="F37" i="8" s="1"/>
  <c r="G36" i="8"/>
  <c r="G37" i="8" s="1"/>
  <c r="H36" i="8"/>
  <c r="H37" i="8" s="1"/>
  <c r="E17" i="8"/>
  <c r="F17" i="8"/>
  <c r="B17" i="8"/>
  <c r="G18" i="9"/>
  <c r="F21" i="9"/>
  <c r="F29" i="9" s="1"/>
  <c r="J7" i="9"/>
  <c r="J11" i="9" s="1"/>
  <c r="J18" i="9" s="1"/>
  <c r="P16" i="9"/>
  <c r="G17" i="8"/>
  <c r="I36" i="8"/>
  <c r="I37" i="8" s="1"/>
  <c r="D36" i="8"/>
  <c r="D37" i="8" s="1"/>
  <c r="D17" i="8"/>
  <c r="E36" i="8"/>
  <c r="E37" i="8" s="1"/>
  <c r="L36" i="8"/>
  <c r="L37" i="8" s="1"/>
  <c r="K26" i="7"/>
  <c r="H17" i="8"/>
  <c r="I17" i="8"/>
  <c r="L17" i="8"/>
  <c r="M36" i="8"/>
  <c r="M37" i="8" s="1"/>
  <c r="M17" i="8"/>
  <c r="I38" i="7"/>
  <c r="E36" i="7"/>
  <c r="F38" i="7"/>
  <c r="F41" i="7" s="1"/>
  <c r="K40" i="7" s="1"/>
  <c r="G38" i="7"/>
  <c r="B38" i="7"/>
  <c r="B41" i="7" s="1"/>
  <c r="P36" i="7"/>
  <c r="O16" i="9"/>
  <c r="O18" i="9" s="1"/>
  <c r="N21" i="9" l="1"/>
  <c r="N29" i="9" s="1"/>
  <c r="P18" i="9"/>
  <c r="P21" i="9" s="1"/>
  <c r="P29" i="9" s="1"/>
  <c r="E18" i="9"/>
  <c r="K7" i="9"/>
  <c r="K18" i="9"/>
  <c r="G21" i="9"/>
  <c r="G29" i="9" s="1"/>
  <c r="E21" i="9"/>
  <c r="E29" i="9" s="1"/>
  <c r="K11" i="9"/>
  <c r="J5" i="7"/>
  <c r="J21" i="9"/>
  <c r="J29" i="9" s="1"/>
  <c r="G40" i="7"/>
  <c r="G41" i="7" s="1"/>
  <c r="H40" i="7" s="1"/>
  <c r="H41" i="7" s="1"/>
  <c r="I40" i="7" s="1"/>
  <c r="I41" i="7" s="1"/>
  <c r="J40" i="7" s="1"/>
  <c r="E38" i="7"/>
  <c r="E41" i="7" s="1"/>
  <c r="O21" i="9"/>
  <c r="O29" i="9" s="1"/>
  <c r="O5" i="7"/>
  <c r="O17" i="7" s="1"/>
  <c r="P5" i="7" l="1"/>
  <c r="P17" i="7" s="1"/>
  <c r="P38" i="7" s="1"/>
  <c r="K5" i="7"/>
  <c r="J17" i="7"/>
  <c r="K21" i="9"/>
  <c r="K29" i="9" s="1"/>
  <c r="O38" i="7"/>
  <c r="J38" i="7" l="1"/>
  <c r="K17" i="7"/>
  <c r="O41" i="7"/>
  <c r="K38" i="7" l="1"/>
  <c r="K41" i="7" s="1"/>
  <c r="P40" i="7" s="1"/>
  <c r="P41" i="7" s="1"/>
  <c r="J41" i="7"/>
  <c r="Q40" i="7" l="1"/>
  <c r="Q41" i="7" s="1"/>
  <c r="U40" i="7"/>
  <c r="U17" i="7"/>
  <c r="U38" i="7" s="1"/>
  <c r="U41" i="7" l="1"/>
  <c r="T17" i="7"/>
  <c r="T38" i="7" s="1"/>
  <c r="T41" i="7" s="1"/>
  <c r="AD7" i="9" l="1"/>
  <c r="AD11" i="9"/>
  <c r="AD16" i="9"/>
  <c r="AD18" i="9"/>
  <c r="AD21" i="9"/>
  <c r="AD29" i="9" s="1"/>
  <c r="AD10" i="9"/>
</calcChain>
</file>

<file path=xl/sharedStrings.xml><?xml version="1.0" encoding="utf-8"?>
<sst xmlns="http://schemas.openxmlformats.org/spreadsheetml/2006/main" count="197" uniqueCount="121">
  <si>
    <t>Q1 2020</t>
  </si>
  <si>
    <t>Q2 2020</t>
  </si>
  <si>
    <t>Q3 2020</t>
  </si>
  <si>
    <t>Q4 2020</t>
  </si>
  <si>
    <t>FY 2020</t>
  </si>
  <si>
    <t>Q1 2021</t>
  </si>
  <si>
    <t>Q2 2021</t>
  </si>
  <si>
    <t>Q3 2021</t>
  </si>
  <si>
    <t>Operating expenses</t>
  </si>
  <si>
    <t>Impairment</t>
  </si>
  <si>
    <t>Operating profit/(loss)</t>
  </si>
  <si>
    <t xml:space="preserve">Interest income </t>
  </si>
  <si>
    <t>Profit/(loss) before tax</t>
  </si>
  <si>
    <t>Income tax expense</t>
  </si>
  <si>
    <t xml:space="preserve">Net profit/(loss) for the period </t>
  </si>
  <si>
    <t>ASSETS</t>
  </si>
  <si>
    <t>Right-of-use assets</t>
  </si>
  <si>
    <t>Intangible assets</t>
  </si>
  <si>
    <t>Other non-current assets</t>
  </si>
  <si>
    <t>Derivatives</t>
  </si>
  <si>
    <t xml:space="preserve">Total non-current assets </t>
  </si>
  <si>
    <t>Inventories</t>
  </si>
  <si>
    <t>Trade receivables and other current assets</t>
  </si>
  <si>
    <t>Cash and cash equivalents</t>
  </si>
  <si>
    <t>Total current assets</t>
  </si>
  <si>
    <t>TOTAL ASSETS</t>
  </si>
  <si>
    <t>EQUITY AND LIABILITIES</t>
  </si>
  <si>
    <t>Shareholders' equity</t>
  </si>
  <si>
    <t>Non-controlling interests</t>
  </si>
  <si>
    <t>Total equity</t>
  </si>
  <si>
    <t>Long-term related parties payables</t>
  </si>
  <si>
    <t>Deferred tax liabilities</t>
  </si>
  <si>
    <t>Long-term lease liabilities</t>
  </si>
  <si>
    <t>Total non-current liabilities</t>
  </si>
  <si>
    <t>Trade and other payables</t>
  </si>
  <si>
    <t>Short-term lease liabilities</t>
  </si>
  <si>
    <t>Total current liabilities</t>
  </si>
  <si>
    <t>Total liabilities</t>
  </si>
  <si>
    <t>TOTAL EQUITY AND LIABILITIES</t>
  </si>
  <si>
    <t>Profit/(loss) before taxes</t>
  </si>
  <si>
    <t>Depreciation and amortisation</t>
  </si>
  <si>
    <t>Loss/ (gain) on sale of property, plant and equipment</t>
  </si>
  <si>
    <t>Share-based payment expense</t>
  </si>
  <si>
    <t>Investment in property, plant and equipment and intangible assets</t>
  </si>
  <si>
    <t>Proceeds from disposal of property, plant and equipment</t>
  </si>
  <si>
    <t>Interest received</t>
  </si>
  <si>
    <t>Proceeds from interest-bearing debt</t>
  </si>
  <si>
    <t>Repayment of interest-bearing debt</t>
  </si>
  <si>
    <t>Proceeds from share issue</t>
  </si>
  <si>
    <t>Net transaction costs on issue of shares</t>
  </si>
  <si>
    <t>Payment of lease liabilities</t>
  </si>
  <si>
    <t>Proceeds from transactions with non-controlling interests</t>
  </si>
  <si>
    <t>Net change in cash and cash equivalents</t>
  </si>
  <si>
    <t>Cash and cash equivalents at beginning of period</t>
  </si>
  <si>
    <t>Cash and cash equivalents at end of period</t>
  </si>
  <si>
    <t>Q4 2021</t>
  </si>
  <si>
    <t>FY 2021</t>
  </si>
  <si>
    <t>Q1 2022</t>
  </si>
  <si>
    <t>Q2 2022</t>
  </si>
  <si>
    <t>Q3 2022</t>
  </si>
  <si>
    <t>Interest paid</t>
  </si>
  <si>
    <t>Q4 2022</t>
  </si>
  <si>
    <t>FY 2022</t>
  </si>
  <si>
    <t xml:space="preserve">Transaction costs related to loans and borrowings </t>
  </si>
  <si>
    <t>Q1 2023</t>
  </si>
  <si>
    <t>Q2 2023</t>
  </si>
  <si>
    <t>Q3 2023</t>
  </si>
  <si>
    <t>Q4 2023</t>
  </si>
  <si>
    <t>FY 2023</t>
  </si>
  <si>
    <t>Deferred tax assets</t>
  </si>
  <si>
    <t>Q1 2024</t>
  </si>
  <si>
    <t>Q2 2024</t>
  </si>
  <si>
    <t>Q3 2024</t>
  </si>
  <si>
    <t>Investment in shares</t>
  </si>
  <si>
    <t>Net interest</t>
  </si>
  <si>
    <t>Taxes paid</t>
  </si>
  <si>
    <t xml:space="preserve">Unrealised currency exchange differences </t>
  </si>
  <si>
    <t>Unrealised fair value change on financial instruments</t>
  </si>
  <si>
    <t>Changes in working capital, other balance sheet items related to operating activities</t>
  </si>
  <si>
    <t>Q4 2024</t>
  </si>
  <si>
    <t xml:space="preserve">Accretion expense </t>
  </si>
  <si>
    <t>FY 2024</t>
  </si>
  <si>
    <t>Net financial items</t>
  </si>
  <si>
    <t>Basic earnings/(loss) per share (USD)</t>
  </si>
  <si>
    <t>Diluted earnings/(loss) per share (USD)</t>
  </si>
  <si>
    <t>BW Energy Limited</t>
  </si>
  <si>
    <t>Q1 2025</t>
  </si>
  <si>
    <t>Property plant and equipment</t>
  </si>
  <si>
    <t>Q2 2025</t>
  </si>
  <si>
    <t>Loss on debt modification</t>
  </si>
  <si>
    <t>USD Million</t>
  </si>
  <si>
    <t>Q3 2025</t>
  </si>
  <si>
    <t>Q4 2025</t>
  </si>
  <si>
    <t>Investment in other financial assets</t>
  </si>
  <si>
    <t>Proceeds distributed to partners</t>
  </si>
  <si>
    <t>Repayments from partners</t>
  </si>
  <si>
    <t>FY 2025</t>
  </si>
  <si>
    <t>Q1 2026</t>
  </si>
  <si>
    <t xml:space="preserve">Operating profit before depreciation, amortisation and impairment </t>
  </si>
  <si>
    <t>Total revenues and other income</t>
  </si>
  <si>
    <t xml:space="preserve">Q1 2024 </t>
  </si>
  <si>
    <t>Provisions</t>
  </si>
  <si>
    <t>Other non-current liabilities</t>
  </si>
  <si>
    <t>Consolidated statement of income</t>
  </si>
  <si>
    <t>Consolidated statement of financial position</t>
  </si>
  <si>
    <t>Consolidated statement of cash flows</t>
  </si>
  <si>
    <t>Consolidated Statement of Comprehensive Income</t>
  </si>
  <si>
    <t>Net profit/(loss) for the period</t>
  </si>
  <si>
    <t>Other comprehensive income / (loss):</t>
  </si>
  <si>
    <t>Fair value changes in listed equity securities</t>
  </si>
  <si>
    <t>Revaluation gain on strategic infrastructure assets</t>
  </si>
  <si>
    <t>Total comprehensive income/(loss) for the period</t>
  </si>
  <si>
    <t>Interest expense</t>
  </si>
  <si>
    <t>Other financial items</t>
  </si>
  <si>
    <t>Net cash flow from/(used in) operating activities</t>
  </si>
  <si>
    <t>Net cash flow from (used in) investing activities</t>
  </si>
  <si>
    <t>Net cash flow from (used in) financing activities</t>
  </si>
  <si>
    <t>Loans and borrowings</t>
  </si>
  <si>
    <t>Cash flow hedges - effective portion of changes in fair value</t>
  </si>
  <si>
    <t>Items that will not be reclassified to profit or loss</t>
  </si>
  <si>
    <t>Items that are or may be subsequently reclassified to profit or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</si>
</sst>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#,##0.0_);\(#,##0.0\)"/>
    <numFmt numFmtId="167" formatCode="_-* #,##0.0_-;\-* #,##0.0_-;_-* &quot;-&quot;??_-;_-@_-"/>
    <numFmt numFmtId="168" formatCode="_(* #,##0.0_);_(* \(#,##0.0\);_(* &quot;-&quot;??_);_(@_)"/>
    <numFmt numFmtId="169" formatCode="[$-414]mmm/\ 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Arial"/>
      <family val="2"/>
    </font>
    <font>
      <sz val="9"/>
      <name val="Calibri"/>
      <family val="2"/>
      <scheme val="minor"/>
    </font>
    <font>
      <sz val="10"/>
      <color theme="1"/>
      <name val="Tahoma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000000"/>
      <name val="Calibri"/>
      <family val="2"/>
    </font>
    <font>
      <sz val="9"/>
      <color rgb="FFFF0000"/>
      <name val="Arial"/>
      <family val="2"/>
    </font>
    <font>
      <i/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3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169" fontId="5" fillId="0" borderId="0"/>
    <xf numFmtId="43" fontId="5" fillId="0" borderId="0" applyFont="0" applyFill="0" applyBorder="0" applyAlignment="0" applyProtection="0"/>
    <xf numFmtId="169" fontId="5" fillId="0" borderId="0"/>
    <xf numFmtId="169" fontId="7" fillId="0" borderId="0"/>
    <xf numFmtId="169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/>
    <xf numFmtId="169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2" fillId="0" borderId="0" xfId="0" applyFont="1"/>
    <xf numFmtId="0" fontId="6" fillId="0" borderId="0" xfId="0" applyFont="1" applyAlignment="1">
      <alignment vertical="center" readingOrder="1"/>
    </xf>
    <xf numFmtId="0" fontId="12" fillId="0" borderId="0" xfId="3" applyFont="1" applyAlignment="1">
      <alignment vertical="center" readingOrder="1"/>
    </xf>
    <xf numFmtId="0" fontId="12" fillId="2" borderId="0" xfId="3" applyFont="1" applyFill="1" applyAlignment="1">
      <alignment vertical="center" readingOrder="1"/>
    </xf>
    <xf numFmtId="0" fontId="13" fillId="0" borderId="1" xfId="3" applyFont="1" applyBorder="1" applyAlignment="1">
      <alignment vertical="center" readingOrder="1"/>
    </xf>
    <xf numFmtId="0" fontId="13" fillId="2" borderId="0" xfId="3" applyFont="1" applyFill="1" applyAlignment="1">
      <alignment vertical="center" readingOrder="1"/>
    </xf>
    <xf numFmtId="168" fontId="12" fillId="0" borderId="0" xfId="3" applyNumberFormat="1" applyFont="1" applyAlignment="1">
      <alignment vertical="center" readingOrder="1"/>
    </xf>
    <xf numFmtId="49" fontId="12" fillId="2" borderId="0" xfId="0" applyNumberFormat="1" applyFont="1" applyFill="1" applyAlignment="1">
      <alignment vertical="center" readingOrder="1"/>
    </xf>
    <xf numFmtId="0" fontId="13" fillId="0" borderId="2" xfId="3" applyFont="1" applyBorder="1" applyAlignment="1">
      <alignment vertical="center" readingOrder="1"/>
    </xf>
    <xf numFmtId="0" fontId="13" fillId="0" borderId="0" xfId="3" applyFont="1" applyAlignment="1">
      <alignment vertical="center" readingOrder="1"/>
    </xf>
    <xf numFmtId="0" fontId="12" fillId="2" borderId="0" xfId="0" applyFont="1" applyFill="1" applyAlignment="1">
      <alignment vertical="center"/>
    </xf>
    <xf numFmtId="0" fontId="5" fillId="0" borderId="0" xfId="0" applyFont="1"/>
    <xf numFmtId="0" fontId="13" fillId="2" borderId="0" xfId="0" applyFont="1" applyFill="1" applyAlignment="1">
      <alignment vertical="center"/>
    </xf>
    <xf numFmtId="49" fontId="12" fillId="2" borderId="0" xfId="2" applyNumberFormat="1" applyFont="1" applyFill="1" applyAlignment="1" applyProtection="1">
      <alignment vertical="center"/>
      <protection locked="0"/>
    </xf>
    <xf numFmtId="49" fontId="13" fillId="0" borderId="1" xfId="2" applyNumberFormat="1" applyFont="1" applyBorder="1" applyAlignment="1" applyProtection="1">
      <alignment vertical="center" wrapText="1"/>
      <protection locked="0"/>
    </xf>
    <xf numFmtId="49" fontId="13" fillId="0" borderId="0" xfId="2" applyNumberFormat="1" applyFont="1" applyAlignment="1" applyProtection="1">
      <alignment vertical="center" wrapText="1"/>
      <protection locked="0"/>
    </xf>
    <xf numFmtId="49" fontId="12" fillId="0" borderId="0" xfId="2" applyNumberFormat="1" applyFont="1" applyAlignment="1" applyProtection="1">
      <alignment vertical="center"/>
      <protection locked="0"/>
    </xf>
    <xf numFmtId="49" fontId="13" fillId="0" borderId="2" xfId="2" applyNumberFormat="1" applyFont="1" applyBorder="1" applyAlignment="1" applyProtection="1">
      <alignment vertical="center" wrapText="1"/>
      <protection locked="0"/>
    </xf>
    <xf numFmtId="49" fontId="13" fillId="2" borderId="1" xfId="2" applyNumberFormat="1" applyFont="1" applyFill="1" applyBorder="1" applyAlignment="1" applyProtection="1">
      <alignment vertical="center"/>
      <protection locked="0"/>
    </xf>
    <xf numFmtId="168" fontId="14" fillId="0" borderId="0" xfId="19" applyNumberFormat="1" applyFont="1" applyFill="1" applyAlignment="1">
      <alignment horizontal="center"/>
    </xf>
    <xf numFmtId="167" fontId="4" fillId="0" borderId="0" xfId="1" applyNumberFormat="1" applyFont="1"/>
    <xf numFmtId="168" fontId="12" fillId="0" borderId="0" xfId="1" applyNumberFormat="1" applyFont="1" applyFill="1" applyBorder="1" applyAlignment="1">
      <alignment horizontal="right" vertical="center" readingOrder="1"/>
    </xf>
    <xf numFmtId="168" fontId="13" fillId="0" borderId="1" xfId="1" applyNumberFormat="1" applyFont="1" applyFill="1" applyBorder="1" applyAlignment="1">
      <alignment vertical="center" readingOrder="1"/>
    </xf>
    <xf numFmtId="43" fontId="12" fillId="0" borderId="0" xfId="3" applyNumberFormat="1" applyFont="1" applyAlignment="1">
      <alignment vertical="center" readingOrder="1"/>
    </xf>
    <xf numFmtId="164" fontId="4" fillId="0" borderId="0" xfId="1" applyFont="1"/>
    <xf numFmtId="164" fontId="4" fillId="0" borderId="0" xfId="1" applyFont="1" applyBorder="1"/>
    <xf numFmtId="0" fontId="12" fillId="2" borderId="0" xfId="3" applyFont="1" applyFill="1" applyAlignment="1">
      <alignment vertical="center"/>
    </xf>
    <xf numFmtId="0" fontId="13" fillId="0" borderId="1" xfId="3" applyFont="1" applyBorder="1" applyAlignment="1">
      <alignment vertical="center"/>
    </xf>
    <xf numFmtId="0" fontId="13" fillId="0" borderId="0" xfId="3" applyFont="1" applyAlignment="1">
      <alignment vertical="center"/>
    </xf>
    <xf numFmtId="166" fontId="15" fillId="2" borderId="0" xfId="3" applyNumberFormat="1" applyFont="1" applyFill="1" applyAlignment="1">
      <alignment horizontal="right" vertical="center"/>
    </xf>
    <xf numFmtId="168" fontId="13" fillId="0" borderId="0" xfId="3" applyNumberFormat="1" applyFont="1" applyAlignment="1">
      <alignment vertical="center" readingOrder="1"/>
    </xf>
    <xf numFmtId="168" fontId="13" fillId="0" borderId="0" xfId="0" applyNumberFormat="1" applyFont="1" applyAlignment="1">
      <alignment vertical="center" readingOrder="1"/>
    </xf>
    <xf numFmtId="168" fontId="13" fillId="0" borderId="1" xfId="3" applyNumberFormat="1" applyFont="1" applyBorder="1" applyAlignment="1">
      <alignment vertical="center" readingOrder="1"/>
    </xf>
    <xf numFmtId="168" fontId="13" fillId="0" borderId="2" xfId="3" applyNumberFormat="1" applyFont="1" applyBorder="1" applyAlignment="1">
      <alignment vertical="center" readingOrder="1"/>
    </xf>
    <xf numFmtId="168" fontId="13" fillId="0" borderId="0" xfId="1" applyNumberFormat="1" applyFont="1" applyFill="1" applyBorder="1" applyAlignment="1">
      <alignment vertical="center" readingOrder="1"/>
    </xf>
    <xf numFmtId="168" fontId="12" fillId="0" borderId="0" xfId="3" applyNumberFormat="1" applyFont="1" applyAlignment="1">
      <alignment horizontal="right" vertical="center"/>
    </xf>
    <xf numFmtId="168" fontId="13" fillId="0" borderId="1" xfId="1" applyNumberFormat="1" applyFont="1" applyBorder="1" applyAlignment="1">
      <alignment horizontal="right" vertical="center"/>
    </xf>
    <xf numFmtId="168" fontId="13" fillId="0" borderId="0" xfId="1" applyNumberFormat="1" applyFont="1" applyAlignment="1">
      <alignment horizontal="right" vertical="center"/>
    </xf>
    <xf numFmtId="168" fontId="13" fillId="0" borderId="1" xfId="1" applyNumberFormat="1" applyFont="1" applyFill="1" applyBorder="1" applyAlignment="1" applyProtection="1">
      <alignment horizontal="right" vertical="center"/>
      <protection locked="0"/>
    </xf>
    <xf numFmtId="168" fontId="13" fillId="0" borderId="0" xfId="1" applyNumberFormat="1" applyFont="1" applyFill="1" applyBorder="1" applyAlignment="1" applyProtection="1">
      <alignment vertical="center" wrapText="1"/>
      <protection locked="0"/>
    </xf>
    <xf numFmtId="168" fontId="13" fillId="0" borderId="2" xfId="1" applyNumberFormat="1" applyFont="1" applyFill="1" applyBorder="1" applyAlignment="1" applyProtection="1">
      <alignment horizontal="right" vertical="center"/>
      <protection locked="0"/>
    </xf>
    <xf numFmtId="168" fontId="12" fillId="0" borderId="0" xfId="1" applyNumberFormat="1" applyFont="1" applyFill="1" applyBorder="1" applyAlignment="1" applyProtection="1">
      <alignment vertical="center"/>
      <protection locked="0"/>
    </xf>
    <xf numFmtId="166" fontId="12" fillId="0" borderId="0" xfId="1" applyNumberFormat="1" applyFont="1" applyFill="1" applyAlignment="1">
      <alignment horizontal="right" vertical="center" readingOrder="1"/>
    </xf>
    <xf numFmtId="166" fontId="13" fillId="0" borderId="1" xfId="1" applyNumberFormat="1" applyFont="1" applyFill="1" applyBorder="1" applyAlignment="1">
      <alignment vertical="center" readingOrder="1"/>
    </xf>
    <xf numFmtId="166" fontId="13" fillId="0" borderId="0" xfId="3" applyNumberFormat="1" applyFont="1" applyAlignment="1">
      <alignment vertical="center" readingOrder="1"/>
    </xf>
    <xf numFmtId="166" fontId="13" fillId="0" borderId="0" xfId="0" applyNumberFormat="1" applyFont="1" applyAlignment="1">
      <alignment vertical="center" readingOrder="1"/>
    </xf>
    <xf numFmtId="166" fontId="13" fillId="0" borderId="1" xfId="3" applyNumberFormat="1" applyFont="1" applyBorder="1" applyAlignment="1">
      <alignment vertical="center" readingOrder="1"/>
    </xf>
    <xf numFmtId="166" fontId="13" fillId="0" borderId="2" xfId="3" applyNumberFormat="1" applyFont="1" applyBorder="1" applyAlignment="1">
      <alignment vertical="center" readingOrder="1"/>
    </xf>
    <xf numFmtId="166" fontId="13" fillId="0" borderId="0" xfId="1" applyNumberFormat="1" applyFont="1" applyFill="1" applyAlignment="1">
      <alignment vertical="center" readingOrder="1"/>
    </xf>
    <xf numFmtId="167" fontId="13" fillId="0" borderId="1" xfId="1" applyNumberFormat="1" applyFont="1" applyFill="1" applyBorder="1" applyAlignment="1" applyProtection="1">
      <alignment horizontal="right" vertical="center"/>
      <protection locked="0"/>
    </xf>
    <xf numFmtId="168" fontId="13" fillId="0" borderId="0" xfId="1" applyNumberFormat="1" applyFont="1" applyFill="1" applyAlignment="1" applyProtection="1">
      <alignment vertical="center" wrapText="1"/>
      <protection locked="0"/>
    </xf>
    <xf numFmtId="167" fontId="13" fillId="0" borderId="0" xfId="1" applyNumberFormat="1" applyFont="1" applyFill="1" applyAlignment="1" applyProtection="1">
      <alignment vertical="center" wrapText="1"/>
      <protection locked="0"/>
    </xf>
    <xf numFmtId="168" fontId="12" fillId="0" borderId="0" xfId="1" applyNumberFormat="1" applyFont="1" applyFill="1" applyAlignment="1">
      <alignment vertical="center" readingOrder="1"/>
    </xf>
    <xf numFmtId="167" fontId="13" fillId="0" borderId="2" xfId="1" applyNumberFormat="1" applyFont="1" applyFill="1" applyBorder="1" applyAlignment="1" applyProtection="1">
      <alignment horizontal="right" vertical="center"/>
      <protection locked="0"/>
    </xf>
    <xf numFmtId="168" fontId="12" fillId="0" borderId="0" xfId="1" applyNumberFormat="1" applyFont="1" applyFill="1" applyAlignment="1" applyProtection="1">
      <alignment vertical="center"/>
      <protection locked="0"/>
    </xf>
    <xf numFmtId="167" fontId="12" fillId="0" borderId="0" xfId="1" applyNumberFormat="1" applyFont="1" applyFill="1" applyAlignment="1" applyProtection="1">
      <alignment vertical="center"/>
      <protection locked="0"/>
    </xf>
    <xf numFmtId="49" fontId="11" fillId="3" borderId="1" xfId="2" applyNumberFormat="1" applyFont="1" applyFill="1" applyBorder="1" applyAlignment="1" applyProtection="1">
      <alignment vertical="center"/>
      <protection locked="0"/>
    </xf>
    <xf numFmtId="0" fontId="11" fillId="3" borderId="1" xfId="3" applyFont="1" applyFill="1" applyBorder="1" applyAlignment="1">
      <alignment horizontal="right" vertical="center" readingOrder="1"/>
    </xf>
    <xf numFmtId="0" fontId="11" fillId="3" borderId="1" xfId="3" applyFont="1" applyFill="1" applyBorder="1" applyAlignment="1">
      <alignment vertical="center"/>
    </xf>
    <xf numFmtId="0" fontId="11" fillId="3" borderId="1" xfId="3" applyFont="1" applyFill="1" applyBorder="1" applyAlignment="1">
      <alignment horizontal="right" vertical="center" wrapText="1" readingOrder="1"/>
    </xf>
    <xf numFmtId="0" fontId="17" fillId="0" borderId="0" xfId="0" applyFont="1"/>
    <xf numFmtId="0" fontId="16" fillId="0" borderId="0" xfId="0" applyFont="1" applyAlignment="1">
      <alignment vertical="top"/>
    </xf>
    <xf numFmtId="168" fontId="12" fillId="0" borderId="0" xfId="1" applyNumberFormat="1" applyFont="1" applyAlignment="1">
      <alignment horizontal="right" vertical="center"/>
    </xf>
    <xf numFmtId="168" fontId="18" fillId="2" borderId="0" xfId="0" applyNumberFormat="1" applyFont="1" applyFill="1" applyAlignment="1">
      <alignment vertical="center"/>
    </xf>
    <xf numFmtId="43" fontId="5" fillId="0" borderId="0" xfId="0" applyNumberFormat="1" applyFont="1"/>
    <xf numFmtId="168" fontId="13" fillId="0" borderId="1" xfId="1" applyNumberFormat="1" applyFont="1" applyFill="1" applyBorder="1" applyAlignment="1">
      <alignment horizontal="right" vertical="center"/>
    </xf>
    <xf numFmtId="166" fontId="15" fillId="0" borderId="0" xfId="3" applyNumberFormat="1" applyFont="1" applyAlignment="1">
      <alignment horizontal="right" vertical="center"/>
    </xf>
    <xf numFmtId="168" fontId="12" fillId="0" borderId="0" xfId="1" applyNumberFormat="1" applyFont="1" applyFill="1" applyAlignment="1">
      <alignment horizontal="right" vertical="center"/>
    </xf>
    <xf numFmtId="168" fontId="12" fillId="0" borderId="0" xfId="1" applyNumberFormat="1" applyFont="1" applyFill="1" applyAlignment="1">
      <alignment horizontal="right" vertical="center" readingOrder="1"/>
    </xf>
    <xf numFmtId="168" fontId="13" fillId="0" borderId="0" xfId="1" applyNumberFormat="1" applyFont="1" applyFill="1" applyAlignment="1">
      <alignment vertical="center" readingOrder="1"/>
    </xf>
    <xf numFmtId="164" fontId="12" fillId="0" borderId="0" xfId="1" applyFont="1" applyFill="1" applyAlignment="1">
      <alignment vertical="center" readingOrder="1"/>
    </xf>
    <xf numFmtId="41" fontId="19" fillId="0" borderId="0" xfId="0" applyNumberFormat="1" applyFont="1" applyAlignment="1">
      <alignment vertical="center"/>
    </xf>
    <xf numFmtId="168" fontId="12" fillId="4" borderId="0" xfId="3" applyNumberFormat="1" applyFont="1" applyFill="1" applyAlignment="1">
      <alignment vertical="center" readingOrder="1"/>
    </xf>
    <xf numFmtId="0" fontId="21" fillId="0" borderId="0" xfId="0" applyFont="1"/>
    <xf numFmtId="168" fontId="13" fillId="4" borderId="1" xfId="1" applyNumberFormat="1" applyFont="1" applyFill="1" applyBorder="1" applyAlignment="1">
      <alignment horizontal="right" vertical="center"/>
    </xf>
    <xf numFmtId="168" fontId="12" fillId="4" borderId="0" xfId="3" applyNumberFormat="1" applyFont="1" applyFill="1" applyAlignment="1">
      <alignment horizontal="right" vertical="center"/>
    </xf>
    <xf numFmtId="168" fontId="12" fillId="4" borderId="0" xfId="1" applyNumberFormat="1" applyFont="1" applyFill="1" applyAlignment="1">
      <alignment horizontal="right" vertical="center"/>
    </xf>
    <xf numFmtId="0" fontId="20" fillId="0" borderId="0" xfId="0" applyFont="1"/>
    <xf numFmtId="168" fontId="13" fillId="0" borderId="0" xfId="1" applyNumberFormat="1" applyFont="1" applyBorder="1" applyAlignment="1">
      <alignment horizontal="right" vertical="center"/>
    </xf>
    <xf numFmtId="168" fontId="13" fillId="0" borderId="0" xfId="1" applyNumberFormat="1" applyFont="1" applyFill="1" applyBorder="1" applyAlignment="1">
      <alignment horizontal="right" vertical="center"/>
    </xf>
    <xf numFmtId="0" fontId="22" fillId="2" borderId="0" xfId="3" applyFont="1" applyFill="1" applyAlignment="1">
      <alignment vertical="center"/>
    </xf>
    <xf numFmtId="0" fontId="14" fillId="0" borderId="0" xfId="0" applyFont="1"/>
    <xf numFmtId="0" fontId="12" fillId="0" borderId="0" xfId="3" applyFont="1" applyAlignment="1">
      <alignment vertical="center"/>
    </xf>
    <xf numFmtId="0" fontId="6" fillId="2" borderId="0" xfId="3" applyFont="1" applyFill="1" applyAlignment="1">
      <alignment horizontal="left" vertical="center"/>
    </xf>
    <xf numFmtId="0" fontId="4" fillId="0" borderId="0" xfId="0" applyFont="1" applyAlignment="1">
      <alignment wrapText="1"/>
    </xf>
    <xf numFmtId="168" fontId="12" fillId="4" borderId="0" xfId="1" applyNumberFormat="1" applyFont="1" applyFill="1" applyAlignment="1">
      <alignment horizontal="right" vertical="center" readingOrder="1"/>
    </xf>
    <xf numFmtId="168" fontId="13" fillId="4" borderId="1" xfId="1" applyNumberFormat="1" applyFont="1" applyFill="1" applyBorder="1" applyAlignment="1">
      <alignment vertical="center" readingOrder="1"/>
    </xf>
    <xf numFmtId="168" fontId="13" fillId="4" borderId="0" xfId="3" applyNumberFormat="1" applyFont="1" applyFill="1" applyAlignment="1">
      <alignment vertical="center" readingOrder="1"/>
    </xf>
    <xf numFmtId="168" fontId="13" fillId="4" borderId="0" xfId="0" applyNumberFormat="1" applyFont="1" applyFill="1" applyAlignment="1">
      <alignment vertical="center" readingOrder="1"/>
    </xf>
    <xf numFmtId="168" fontId="13" fillId="4" borderId="1" xfId="3" applyNumberFormat="1" applyFont="1" applyFill="1" applyBorder="1" applyAlignment="1">
      <alignment vertical="center" readingOrder="1"/>
    </xf>
    <xf numFmtId="168" fontId="13" fillId="4" borderId="2" xfId="3" applyNumberFormat="1" applyFont="1" applyFill="1" applyBorder="1" applyAlignment="1">
      <alignment vertical="center" readingOrder="1"/>
    </xf>
    <xf numFmtId="168" fontId="13" fillId="4" borderId="0" xfId="1" applyNumberFormat="1" applyFont="1" applyFill="1" applyAlignment="1">
      <alignment vertical="center" readingOrder="1"/>
    </xf>
    <xf numFmtId="164" fontId="12" fillId="4" borderId="0" xfId="1" applyFont="1" applyFill="1" applyAlignment="1">
      <alignment vertical="center" readingOrder="1"/>
    </xf>
    <xf numFmtId="168" fontId="14" fillId="4" borderId="0" xfId="19" applyNumberFormat="1" applyFont="1" applyFill="1" applyAlignment="1">
      <alignment horizontal="center"/>
    </xf>
    <xf numFmtId="167" fontId="13" fillId="4" borderId="1" xfId="1" applyNumberFormat="1" applyFont="1" applyFill="1" applyBorder="1" applyAlignment="1" applyProtection="1">
      <alignment horizontal="right" vertical="center"/>
      <protection locked="0"/>
    </xf>
    <xf numFmtId="167" fontId="13" fillId="4" borderId="0" xfId="1" applyNumberFormat="1" applyFont="1" applyFill="1" applyAlignment="1" applyProtection="1">
      <alignment vertical="center" wrapText="1"/>
      <protection locked="0"/>
    </xf>
    <xf numFmtId="166" fontId="13" fillId="4" borderId="1" xfId="3" applyNumberFormat="1" applyFont="1" applyFill="1" applyBorder="1" applyAlignment="1">
      <alignment vertical="center" readingOrder="1"/>
    </xf>
    <xf numFmtId="166" fontId="13" fillId="4" borderId="0" xfId="3" applyNumberFormat="1" applyFont="1" applyFill="1" applyAlignment="1">
      <alignment vertical="center" readingOrder="1"/>
    </xf>
    <xf numFmtId="167" fontId="13" fillId="4" borderId="2" xfId="1" applyNumberFormat="1" applyFont="1" applyFill="1" applyBorder="1" applyAlignment="1" applyProtection="1">
      <alignment horizontal="right" vertical="center"/>
      <protection locked="0"/>
    </xf>
    <xf numFmtId="167" fontId="12" fillId="4" borderId="0" xfId="1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0" fontId="23" fillId="2" borderId="0" xfId="3" applyFont="1" applyFill="1" applyAlignment="1">
      <alignment vertical="center" readingOrder="1"/>
    </xf>
    <xf numFmtId="0" fontId="4" fillId="4" borderId="0" xfId="0" applyFont="1" applyFill="1"/>
    <xf numFmtId="168" fontId="13" fillId="4" borderId="0" xfId="1" applyNumberFormat="1" applyFont="1" applyFill="1" applyBorder="1" applyAlignment="1">
      <alignment vertical="center" readingOrder="1"/>
    </xf>
    <xf numFmtId="166" fontId="13" fillId="0" borderId="0" xfId="1" applyNumberFormat="1" applyFont="1" applyFill="1" applyBorder="1" applyAlignment="1">
      <alignment vertical="center" readingOrder="1"/>
    </xf>
    <xf numFmtId="164" fontId="12" fillId="4" borderId="0" xfId="1" applyFont="1" applyFill="1" applyAlignment="1">
      <alignment horizontal="right" vertical="center" readingOrder="1"/>
    </xf>
    <xf numFmtId="168" fontId="12" fillId="4" borderId="1" xfId="1" applyNumberFormat="1" applyFont="1" applyFill="1" applyBorder="1" applyAlignment="1">
      <alignment horizontal="right" vertical="center" readingOrder="1"/>
    </xf>
    <xf numFmtId="164" fontId="2" fillId="0" borderId="1" xfId="1" applyFont="1" applyBorder="1"/>
    <xf numFmtId="166" fontId="12" fillId="0" borderId="0" xfId="3" applyNumberFormat="1" applyFont="1" applyAlignment="1">
      <alignment vertical="center" readingOrder="1"/>
    </xf>
  </cellXfs>
  <cellStyles count="103">
    <cellStyle name="Comma" xfId="1" builtinId="3"/>
    <cellStyle name="Comma 12" xfId="102" xr:uid="{7E3F5076-22E2-4029-9FF3-EDB60F463D29}"/>
    <cellStyle name="Comma 2" xfId="16" xr:uid="{00000000-0005-0000-0000-000001000000}"/>
    <cellStyle name="Comma 2 2" xfId="22" xr:uid="{00000000-0005-0000-0000-000002000000}"/>
    <cellStyle name="Comma 2 3" xfId="101" xr:uid="{00000000-0005-0000-0000-000003000000}"/>
    <cellStyle name="Comma 3" xfId="8" xr:uid="{00000000-0005-0000-0000-000004000000}"/>
    <cellStyle name="Comma 3 2" xfId="21" xr:uid="{00000000-0005-0000-0000-000005000000}"/>
    <cellStyle name="Comma 3 3" xfId="100" xr:uid="{00000000-0005-0000-0000-000006000000}"/>
    <cellStyle name="Comma 4" xfId="6" xr:uid="{00000000-0005-0000-0000-000007000000}"/>
    <cellStyle name="Comma 4 2" xfId="20" xr:uid="{00000000-0005-0000-0000-000008000000}"/>
    <cellStyle name="Comma 4 3" xfId="99" xr:uid="{00000000-0005-0000-0000-000009000000}"/>
    <cellStyle name="Comma 5" xfId="19" xr:uid="{00000000-0005-0000-0000-00000A000000}"/>
    <cellStyle name="Comma 5 2" xfId="23" xr:uid="{00000000-0005-0000-0000-00000B000000}"/>
    <cellStyle name="Comma 6" xfId="98" xr:uid="{00000000-0005-0000-0000-00000C000000}"/>
    <cellStyle name="Followed Hyperlink" xfId="27" builtinId="9" hidden="1"/>
    <cellStyle name="Followed Hyperlink" xfId="25" builtinId="9" hidden="1"/>
    <cellStyle name="Followed Hyperlink" xfId="29" builtinId="9" hidden="1"/>
    <cellStyle name="Followed Hyperlink" xfId="43" builtinId="9" hidden="1"/>
    <cellStyle name="Followed Hyperlink" xfId="53" builtinId="9" hidden="1"/>
    <cellStyle name="Followed Hyperlink" xfId="85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83" builtinId="9" hidden="1"/>
    <cellStyle name="Followed Hyperlink" xfId="87" builtinId="9" hidden="1"/>
    <cellStyle name="Followed Hyperlink" xfId="89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57" builtinId="9" hidden="1"/>
    <cellStyle name="Followed Hyperlink" xfId="55" builtinId="9" hidden="1"/>
    <cellStyle name="Followed Hyperlink" xfId="59" builtinId="9" hidden="1"/>
    <cellStyle name="Followed Hyperlink" xfId="81" builtinId="9" hidden="1"/>
    <cellStyle name="Followed Hyperlink" xfId="79" builtinId="9" hidden="1"/>
    <cellStyle name="Followed Hyperlink" xfId="91" builtinId="9" hidden="1"/>
    <cellStyle name="Followed Hyperlink" xfId="45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7" builtinId="9" hidden="1"/>
    <cellStyle name="Followed Hyperlink" xfId="51" builtinId="9" hidden="1"/>
    <cellStyle name="Followed Hyperlink" xfId="31" builtinId="9" hidden="1"/>
    <cellStyle name="Followed Hyperlink" xfId="33" builtinId="9" hidden="1"/>
    <cellStyle name="Followed Hyperlink" xfId="49" builtinId="9" hidden="1"/>
    <cellStyle name="Followed Hyperlink" xfId="77" builtinId="9" hidden="1"/>
    <cellStyle name="Followed Hyperlink" xfId="69" builtinId="9" hidden="1"/>
    <cellStyle name="Followed Hyperlink" xfId="61" builtinId="9" hidden="1"/>
    <cellStyle name="Followed Hyperlink" xfId="93" builtinId="9" hidden="1"/>
    <cellStyle name="Followed Hyperlink" xfId="97" builtinId="9" hidden="1"/>
    <cellStyle name="Followed Hyperlink" xfId="95" builtinId="9" hidden="1"/>
    <cellStyle name="Hyperlink" xfId="52" builtinId="8" hidden="1"/>
    <cellStyle name="Hyperlink" xfId="56" builtinId="8" hidden="1"/>
    <cellStyle name="Hyperlink" xfId="86" builtinId="8" hidden="1"/>
    <cellStyle name="Hyperlink" xfId="90" builtinId="8" hidden="1"/>
    <cellStyle name="Hyperlink" xfId="92" builtinId="8" hidden="1"/>
    <cellStyle name="Hyperlink" xfId="84" builtinId="8" hidden="1"/>
    <cellStyle name="Hyperlink" xfId="82" builtinId="8" hidden="1"/>
    <cellStyle name="Hyperlink" xfId="88" builtinId="8" hidden="1"/>
    <cellStyle name="Hyperlink" xfId="50" builtinId="8" hidden="1"/>
    <cellStyle name="Hyperlink" xfId="68" builtinId="8" hidden="1"/>
    <cellStyle name="Hyperlink" xfId="72" builtinId="8" hidden="1"/>
    <cellStyle name="Hyperlink" xfId="74" builtinId="8" hidden="1"/>
    <cellStyle name="Hyperlink" xfId="76" builtinId="8" hidden="1"/>
    <cellStyle name="Hyperlink" xfId="80" builtinId="8" hidden="1"/>
    <cellStyle name="Hyperlink" xfId="54" builtinId="8" hidden="1"/>
    <cellStyle name="Hyperlink" xfId="34" builtinId="8" hidden="1"/>
    <cellStyle name="Hyperlink" xfId="36" builtinId="8" hidden="1"/>
    <cellStyle name="Hyperlink" xfId="40" builtinId="8" hidden="1"/>
    <cellStyle name="Hyperlink" xfId="42" builtinId="8" hidden="1"/>
    <cellStyle name="Hyperlink" xfId="70" builtinId="8" hidden="1"/>
    <cellStyle name="Hyperlink" xfId="96" builtinId="8" hidden="1"/>
    <cellStyle name="Hyperlink" xfId="94" builtinId="8" hidden="1"/>
    <cellStyle name="Hyperlink" xfId="48" builtinId="8" hidden="1"/>
    <cellStyle name="Hyperlink" xfId="64" builtinId="8" hidden="1"/>
    <cellStyle name="Hyperlink" xfId="78" builtinId="8" hidden="1"/>
    <cellStyle name="Hyperlink" xfId="24" builtinId="8" hidden="1"/>
    <cellStyle name="Hyperlink" xfId="26" builtinId="8" hidden="1"/>
    <cellStyle name="Hyperlink" xfId="38" builtinId="8" hidden="1"/>
    <cellStyle name="Hyperlink" xfId="60" builtinId="8" hidden="1"/>
    <cellStyle name="Hyperlink" xfId="62" builtinId="8" hidden="1"/>
    <cellStyle name="Hyperlink" xfId="66" builtinId="8" hidden="1"/>
    <cellStyle name="Hyperlink" xfId="58" builtinId="8" hidden="1"/>
    <cellStyle name="Hyperlink" xfId="28" builtinId="8" hidden="1"/>
    <cellStyle name="Hyperlink" xfId="30" builtinId="8" hidden="1"/>
    <cellStyle name="Hyperlink" xfId="32" builtinId="8" hidden="1"/>
    <cellStyle name="Hyperlink" xfId="46" builtinId="8" hidden="1"/>
    <cellStyle name="Hyperlink" xfId="44" builtinId="8" hidden="1"/>
    <cellStyle name="Normal" xfId="0" builtinId="0"/>
    <cellStyle name="Normal 14 10" xfId="18" xr:uid="{00000000-0005-0000-0000-000058000000}"/>
    <cellStyle name="Normal 2" xfId="4" xr:uid="{00000000-0005-0000-0000-000059000000}"/>
    <cellStyle name="Normal 2 2" xfId="14" xr:uid="{00000000-0005-0000-0000-00005A000000}"/>
    <cellStyle name="Normal 2 3" xfId="9" xr:uid="{00000000-0005-0000-0000-00005B000000}"/>
    <cellStyle name="Normal 3" xfId="10" xr:uid="{00000000-0005-0000-0000-00005C000000}"/>
    <cellStyle name="Normal 4" xfId="5" xr:uid="{00000000-0005-0000-0000-00005D000000}"/>
    <cellStyle name="Normal 4 2" xfId="15" xr:uid="{00000000-0005-0000-0000-00005E000000}"/>
    <cellStyle name="Normal 5" xfId="7" xr:uid="{00000000-0005-0000-0000-00005F000000}"/>
    <cellStyle name="Normal 8" xfId="11" xr:uid="{00000000-0005-0000-0000-000060000000}"/>
    <cellStyle name="Normal_Kopi av 2006 02 08 Regnskap konsern 2005Eng" xfId="2" xr:uid="{00000000-0005-0000-0000-000061000000}"/>
    <cellStyle name="Normal_Notemal" xfId="3" xr:uid="{00000000-0005-0000-0000-000062000000}"/>
    <cellStyle name="Percent 2" xfId="13" xr:uid="{00000000-0005-0000-0000-000064000000}"/>
    <cellStyle name="Percent 3" xfId="17" xr:uid="{00000000-0005-0000-0000-000065000000}"/>
    <cellStyle name="Percent 4" xfId="12" xr:uid="{00000000-0005-0000-0000-000066000000}"/>
  </cellStyles>
  <dxfs count="0"/>
  <tableStyles count="0" defaultTableStyle="TableStyleMedium2" defaultPivotStyle="PivotStyleLight16"/>
  <colors>
    <mruColors>
      <color rgb="FF001E61"/>
      <color rgb="FF92CDDC"/>
      <color rgb="FFFF66FF"/>
      <color rgb="FF00A98F"/>
      <color rgb="FFF8A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  <pageSetUpPr fitToPage="1"/>
  </sheetPr>
  <dimension ref="A1:AH38"/>
  <sheetViews>
    <sheetView showGridLines="0" zoomScaleNormal="100" zoomScalePageLayoutView="120" workbookViewId="0">
      <pane xSplit="6" ySplit="4" topLeftCell="G20" activePane="bottomRight" state="frozen"/>
      <selection pane="topRight" activeCell="J1" sqref="J1"/>
      <selection pane="bottomLeft" activeCell="A3" sqref="A3"/>
      <selection pane="bottomRight" activeCell="B9" sqref="B9"/>
    </sheetView>
  </sheetViews>
  <sheetFormatPr defaultColWidth="8.6640625" defaultRowHeight="14.1" customHeight="1" outlineLevelCol="1" x14ac:dyDescent="0.2"/>
  <cols>
    <col min="1" max="1" width="55.109375" style="1" bestFit="1" customWidth="1"/>
    <col min="2" max="3" width="8.6640625" style="22" customWidth="1" outlineLevel="1"/>
    <col min="4" max="21" width="8.6640625" style="1" customWidth="1" outlineLevel="1"/>
    <col min="22" max="23" width="8.6640625" style="22" customWidth="1" outlineLevel="1"/>
    <col min="24" max="24" width="8.6640625" style="1" customWidth="1" outlineLevel="1"/>
    <col min="25" max="25" width="8.6640625" style="62" customWidth="1" outlineLevel="1"/>
    <col min="26" max="26" width="8.6640625" style="1" customWidth="1" outlineLevel="1"/>
    <col min="27" max="27" width="8.6640625" style="1" customWidth="1"/>
    <col min="28" max="243" width="8.6640625" style="1"/>
    <col min="244" max="244" width="41.33203125" style="1" customWidth="1"/>
    <col min="245" max="245" width="5.44140625" style="1" customWidth="1"/>
    <col min="246" max="248" width="9.33203125" style="1" customWidth="1"/>
    <col min="249" max="251" width="8.6640625" style="1"/>
    <col min="252" max="252" width="0" style="1" hidden="1" customWidth="1"/>
    <col min="253" max="499" width="8.6640625" style="1"/>
    <col min="500" max="500" width="41.33203125" style="1" customWidth="1"/>
    <col min="501" max="501" width="5.44140625" style="1" customWidth="1"/>
    <col min="502" max="504" width="9.33203125" style="1" customWidth="1"/>
    <col min="505" max="507" width="8.6640625" style="1"/>
    <col min="508" max="508" width="0" style="1" hidden="1" customWidth="1"/>
    <col min="509" max="755" width="8.6640625" style="1"/>
    <col min="756" max="756" width="41.33203125" style="1" customWidth="1"/>
    <col min="757" max="757" width="5.44140625" style="1" customWidth="1"/>
    <col min="758" max="760" width="9.33203125" style="1" customWidth="1"/>
    <col min="761" max="763" width="8.6640625" style="1"/>
    <col min="764" max="764" width="0" style="1" hidden="1" customWidth="1"/>
    <col min="765" max="1011" width="8.6640625" style="1"/>
    <col min="1012" max="1012" width="41.33203125" style="1" customWidth="1"/>
    <col min="1013" max="1013" width="5.44140625" style="1" customWidth="1"/>
    <col min="1014" max="1016" width="9.33203125" style="1" customWidth="1"/>
    <col min="1017" max="1019" width="8.6640625" style="1"/>
    <col min="1020" max="1020" width="0" style="1" hidden="1" customWidth="1"/>
    <col min="1021" max="1267" width="8.6640625" style="1"/>
    <col min="1268" max="1268" width="41.33203125" style="1" customWidth="1"/>
    <col min="1269" max="1269" width="5.44140625" style="1" customWidth="1"/>
    <col min="1270" max="1272" width="9.33203125" style="1" customWidth="1"/>
    <col min="1273" max="1275" width="8.6640625" style="1"/>
    <col min="1276" max="1276" width="0" style="1" hidden="1" customWidth="1"/>
    <col min="1277" max="1523" width="8.6640625" style="1"/>
    <col min="1524" max="1524" width="41.33203125" style="1" customWidth="1"/>
    <col min="1525" max="1525" width="5.44140625" style="1" customWidth="1"/>
    <col min="1526" max="1528" width="9.33203125" style="1" customWidth="1"/>
    <col min="1529" max="1531" width="8.6640625" style="1"/>
    <col min="1532" max="1532" width="0" style="1" hidden="1" customWidth="1"/>
    <col min="1533" max="1779" width="8.6640625" style="1"/>
    <col min="1780" max="1780" width="41.33203125" style="1" customWidth="1"/>
    <col min="1781" max="1781" width="5.44140625" style="1" customWidth="1"/>
    <col min="1782" max="1784" width="9.33203125" style="1" customWidth="1"/>
    <col min="1785" max="1787" width="8.6640625" style="1"/>
    <col min="1788" max="1788" width="0" style="1" hidden="1" customWidth="1"/>
    <col min="1789" max="2035" width="8.6640625" style="1"/>
    <col min="2036" max="2036" width="41.33203125" style="1" customWidth="1"/>
    <col min="2037" max="2037" width="5.44140625" style="1" customWidth="1"/>
    <col min="2038" max="2040" width="9.33203125" style="1" customWidth="1"/>
    <col min="2041" max="2043" width="8.6640625" style="1"/>
    <col min="2044" max="2044" width="0" style="1" hidden="1" customWidth="1"/>
    <col min="2045" max="2291" width="8.6640625" style="1"/>
    <col min="2292" max="2292" width="41.33203125" style="1" customWidth="1"/>
    <col min="2293" max="2293" width="5.44140625" style="1" customWidth="1"/>
    <col min="2294" max="2296" width="9.33203125" style="1" customWidth="1"/>
    <col min="2297" max="2299" width="8.6640625" style="1"/>
    <col min="2300" max="2300" width="0" style="1" hidden="1" customWidth="1"/>
    <col min="2301" max="2547" width="8.6640625" style="1"/>
    <col min="2548" max="2548" width="41.33203125" style="1" customWidth="1"/>
    <col min="2549" max="2549" width="5.44140625" style="1" customWidth="1"/>
    <col min="2550" max="2552" width="9.33203125" style="1" customWidth="1"/>
    <col min="2553" max="2555" width="8.6640625" style="1"/>
    <col min="2556" max="2556" width="0" style="1" hidden="1" customWidth="1"/>
    <col min="2557" max="2803" width="8.6640625" style="1"/>
    <col min="2804" max="2804" width="41.33203125" style="1" customWidth="1"/>
    <col min="2805" max="2805" width="5.44140625" style="1" customWidth="1"/>
    <col min="2806" max="2808" width="9.33203125" style="1" customWidth="1"/>
    <col min="2809" max="2811" width="8.6640625" style="1"/>
    <col min="2812" max="2812" width="0" style="1" hidden="1" customWidth="1"/>
    <col min="2813" max="3059" width="8.6640625" style="1"/>
    <col min="3060" max="3060" width="41.33203125" style="1" customWidth="1"/>
    <col min="3061" max="3061" width="5.44140625" style="1" customWidth="1"/>
    <col min="3062" max="3064" width="9.33203125" style="1" customWidth="1"/>
    <col min="3065" max="3067" width="8.6640625" style="1"/>
    <col min="3068" max="3068" width="0" style="1" hidden="1" customWidth="1"/>
    <col min="3069" max="3315" width="8.6640625" style="1"/>
    <col min="3316" max="3316" width="41.33203125" style="1" customWidth="1"/>
    <col min="3317" max="3317" width="5.44140625" style="1" customWidth="1"/>
    <col min="3318" max="3320" width="9.33203125" style="1" customWidth="1"/>
    <col min="3321" max="3323" width="8.6640625" style="1"/>
    <col min="3324" max="3324" width="0" style="1" hidden="1" customWidth="1"/>
    <col min="3325" max="3571" width="8.6640625" style="1"/>
    <col min="3572" max="3572" width="41.33203125" style="1" customWidth="1"/>
    <col min="3573" max="3573" width="5.44140625" style="1" customWidth="1"/>
    <col min="3574" max="3576" width="9.33203125" style="1" customWidth="1"/>
    <col min="3577" max="3579" width="8.6640625" style="1"/>
    <col min="3580" max="3580" width="0" style="1" hidden="1" customWidth="1"/>
    <col min="3581" max="3827" width="8.6640625" style="1"/>
    <col min="3828" max="3828" width="41.33203125" style="1" customWidth="1"/>
    <col min="3829" max="3829" width="5.44140625" style="1" customWidth="1"/>
    <col min="3830" max="3832" width="9.33203125" style="1" customWidth="1"/>
    <col min="3833" max="3835" width="8.6640625" style="1"/>
    <col min="3836" max="3836" width="0" style="1" hidden="1" customWidth="1"/>
    <col min="3837" max="4083" width="8.6640625" style="1"/>
    <col min="4084" max="4084" width="41.33203125" style="1" customWidth="1"/>
    <col min="4085" max="4085" width="5.44140625" style="1" customWidth="1"/>
    <col min="4086" max="4088" width="9.33203125" style="1" customWidth="1"/>
    <col min="4089" max="4091" width="8.6640625" style="1"/>
    <col min="4092" max="4092" width="0" style="1" hidden="1" customWidth="1"/>
    <col min="4093" max="4339" width="8.6640625" style="1"/>
    <col min="4340" max="4340" width="41.33203125" style="1" customWidth="1"/>
    <col min="4341" max="4341" width="5.44140625" style="1" customWidth="1"/>
    <col min="4342" max="4344" width="9.33203125" style="1" customWidth="1"/>
    <col min="4345" max="4347" width="8.6640625" style="1"/>
    <col min="4348" max="4348" width="0" style="1" hidden="1" customWidth="1"/>
    <col min="4349" max="4595" width="8.6640625" style="1"/>
    <col min="4596" max="4596" width="41.33203125" style="1" customWidth="1"/>
    <col min="4597" max="4597" width="5.44140625" style="1" customWidth="1"/>
    <col min="4598" max="4600" width="9.33203125" style="1" customWidth="1"/>
    <col min="4601" max="4603" width="8.6640625" style="1"/>
    <col min="4604" max="4604" width="0" style="1" hidden="1" customWidth="1"/>
    <col min="4605" max="4851" width="8.6640625" style="1"/>
    <col min="4852" max="4852" width="41.33203125" style="1" customWidth="1"/>
    <col min="4853" max="4853" width="5.44140625" style="1" customWidth="1"/>
    <col min="4854" max="4856" width="9.33203125" style="1" customWidth="1"/>
    <col min="4857" max="4859" width="8.6640625" style="1"/>
    <col min="4860" max="4860" width="0" style="1" hidden="1" customWidth="1"/>
    <col min="4861" max="5107" width="8.6640625" style="1"/>
    <col min="5108" max="5108" width="41.33203125" style="1" customWidth="1"/>
    <col min="5109" max="5109" width="5.44140625" style="1" customWidth="1"/>
    <col min="5110" max="5112" width="9.33203125" style="1" customWidth="1"/>
    <col min="5113" max="5115" width="8.6640625" style="1"/>
    <col min="5116" max="5116" width="0" style="1" hidden="1" customWidth="1"/>
    <col min="5117" max="5363" width="8.6640625" style="1"/>
    <col min="5364" max="5364" width="41.33203125" style="1" customWidth="1"/>
    <col min="5365" max="5365" width="5.44140625" style="1" customWidth="1"/>
    <col min="5366" max="5368" width="9.33203125" style="1" customWidth="1"/>
    <col min="5369" max="5371" width="8.6640625" style="1"/>
    <col min="5372" max="5372" width="0" style="1" hidden="1" customWidth="1"/>
    <col min="5373" max="5619" width="8.6640625" style="1"/>
    <col min="5620" max="5620" width="41.33203125" style="1" customWidth="1"/>
    <col min="5621" max="5621" width="5.44140625" style="1" customWidth="1"/>
    <col min="5622" max="5624" width="9.33203125" style="1" customWidth="1"/>
    <col min="5625" max="5627" width="8.6640625" style="1"/>
    <col min="5628" max="5628" width="0" style="1" hidden="1" customWidth="1"/>
    <col min="5629" max="5875" width="8.6640625" style="1"/>
    <col min="5876" max="5876" width="41.33203125" style="1" customWidth="1"/>
    <col min="5877" max="5877" width="5.44140625" style="1" customWidth="1"/>
    <col min="5878" max="5880" width="9.33203125" style="1" customWidth="1"/>
    <col min="5881" max="5883" width="8.6640625" style="1"/>
    <col min="5884" max="5884" width="0" style="1" hidden="1" customWidth="1"/>
    <col min="5885" max="6131" width="8.6640625" style="1"/>
    <col min="6132" max="6132" width="41.33203125" style="1" customWidth="1"/>
    <col min="6133" max="6133" width="5.44140625" style="1" customWidth="1"/>
    <col min="6134" max="6136" width="9.33203125" style="1" customWidth="1"/>
    <col min="6137" max="6139" width="8.6640625" style="1"/>
    <col min="6140" max="6140" width="0" style="1" hidden="1" customWidth="1"/>
    <col min="6141" max="6387" width="8.6640625" style="1"/>
    <col min="6388" max="6388" width="41.33203125" style="1" customWidth="1"/>
    <col min="6389" max="6389" width="5.44140625" style="1" customWidth="1"/>
    <col min="6390" max="6392" width="9.33203125" style="1" customWidth="1"/>
    <col min="6393" max="6395" width="8.6640625" style="1"/>
    <col min="6396" max="6396" width="0" style="1" hidden="1" customWidth="1"/>
    <col min="6397" max="6643" width="8.6640625" style="1"/>
    <col min="6644" max="6644" width="41.33203125" style="1" customWidth="1"/>
    <col min="6645" max="6645" width="5.44140625" style="1" customWidth="1"/>
    <col min="6646" max="6648" width="9.33203125" style="1" customWidth="1"/>
    <col min="6649" max="6651" width="8.6640625" style="1"/>
    <col min="6652" max="6652" width="0" style="1" hidden="1" customWidth="1"/>
    <col min="6653" max="6899" width="8.6640625" style="1"/>
    <col min="6900" max="6900" width="41.33203125" style="1" customWidth="1"/>
    <col min="6901" max="6901" width="5.44140625" style="1" customWidth="1"/>
    <col min="6902" max="6904" width="9.33203125" style="1" customWidth="1"/>
    <col min="6905" max="6907" width="8.6640625" style="1"/>
    <col min="6908" max="6908" width="0" style="1" hidden="1" customWidth="1"/>
    <col min="6909" max="7155" width="8.6640625" style="1"/>
    <col min="7156" max="7156" width="41.33203125" style="1" customWidth="1"/>
    <col min="7157" max="7157" width="5.44140625" style="1" customWidth="1"/>
    <col min="7158" max="7160" width="9.33203125" style="1" customWidth="1"/>
    <col min="7161" max="7163" width="8.6640625" style="1"/>
    <col min="7164" max="7164" width="0" style="1" hidden="1" customWidth="1"/>
    <col min="7165" max="7411" width="8.6640625" style="1"/>
    <col min="7412" max="7412" width="41.33203125" style="1" customWidth="1"/>
    <col min="7413" max="7413" width="5.44140625" style="1" customWidth="1"/>
    <col min="7414" max="7416" width="9.33203125" style="1" customWidth="1"/>
    <col min="7417" max="7419" width="8.6640625" style="1"/>
    <col min="7420" max="7420" width="0" style="1" hidden="1" customWidth="1"/>
    <col min="7421" max="7667" width="8.6640625" style="1"/>
    <col min="7668" max="7668" width="41.33203125" style="1" customWidth="1"/>
    <col min="7669" max="7669" width="5.44140625" style="1" customWidth="1"/>
    <col min="7670" max="7672" width="9.33203125" style="1" customWidth="1"/>
    <col min="7673" max="7675" width="8.6640625" style="1"/>
    <col min="7676" max="7676" width="0" style="1" hidden="1" customWidth="1"/>
    <col min="7677" max="7923" width="8.6640625" style="1"/>
    <col min="7924" max="7924" width="41.33203125" style="1" customWidth="1"/>
    <col min="7925" max="7925" width="5.44140625" style="1" customWidth="1"/>
    <col min="7926" max="7928" width="9.33203125" style="1" customWidth="1"/>
    <col min="7929" max="7931" width="8.6640625" style="1"/>
    <col min="7932" max="7932" width="0" style="1" hidden="1" customWidth="1"/>
    <col min="7933" max="8179" width="8.6640625" style="1"/>
    <col min="8180" max="8180" width="41.33203125" style="1" customWidth="1"/>
    <col min="8181" max="8181" width="5.44140625" style="1" customWidth="1"/>
    <col min="8182" max="8184" width="9.33203125" style="1" customWidth="1"/>
    <col min="8185" max="8187" width="8.6640625" style="1"/>
    <col min="8188" max="8188" width="0" style="1" hidden="1" customWidth="1"/>
    <col min="8189" max="8435" width="8.6640625" style="1"/>
    <col min="8436" max="8436" width="41.33203125" style="1" customWidth="1"/>
    <col min="8437" max="8437" width="5.44140625" style="1" customWidth="1"/>
    <col min="8438" max="8440" width="9.33203125" style="1" customWidth="1"/>
    <col min="8441" max="8443" width="8.6640625" style="1"/>
    <col min="8444" max="8444" width="0" style="1" hidden="1" customWidth="1"/>
    <col min="8445" max="8691" width="8.6640625" style="1"/>
    <col min="8692" max="8692" width="41.33203125" style="1" customWidth="1"/>
    <col min="8693" max="8693" width="5.44140625" style="1" customWidth="1"/>
    <col min="8694" max="8696" width="9.33203125" style="1" customWidth="1"/>
    <col min="8697" max="8699" width="8.6640625" style="1"/>
    <col min="8700" max="8700" width="0" style="1" hidden="1" customWidth="1"/>
    <col min="8701" max="8947" width="8.6640625" style="1"/>
    <col min="8948" max="8948" width="41.33203125" style="1" customWidth="1"/>
    <col min="8949" max="8949" width="5.44140625" style="1" customWidth="1"/>
    <col min="8950" max="8952" width="9.33203125" style="1" customWidth="1"/>
    <col min="8953" max="8955" width="8.6640625" style="1"/>
    <col min="8956" max="8956" width="0" style="1" hidden="1" customWidth="1"/>
    <col min="8957" max="9203" width="8.6640625" style="1"/>
    <col min="9204" max="9204" width="41.33203125" style="1" customWidth="1"/>
    <col min="9205" max="9205" width="5.44140625" style="1" customWidth="1"/>
    <col min="9206" max="9208" width="9.33203125" style="1" customWidth="1"/>
    <col min="9209" max="9211" width="8.6640625" style="1"/>
    <col min="9212" max="9212" width="0" style="1" hidden="1" customWidth="1"/>
    <col min="9213" max="9459" width="8.6640625" style="1"/>
    <col min="9460" max="9460" width="41.33203125" style="1" customWidth="1"/>
    <col min="9461" max="9461" width="5.44140625" style="1" customWidth="1"/>
    <col min="9462" max="9464" width="9.33203125" style="1" customWidth="1"/>
    <col min="9465" max="9467" width="8.6640625" style="1"/>
    <col min="9468" max="9468" width="0" style="1" hidden="1" customWidth="1"/>
    <col min="9469" max="9715" width="8.6640625" style="1"/>
    <col min="9716" max="9716" width="41.33203125" style="1" customWidth="1"/>
    <col min="9717" max="9717" width="5.44140625" style="1" customWidth="1"/>
    <col min="9718" max="9720" width="9.33203125" style="1" customWidth="1"/>
    <col min="9721" max="9723" width="8.6640625" style="1"/>
    <col min="9724" max="9724" width="0" style="1" hidden="1" customWidth="1"/>
    <col min="9725" max="9971" width="8.6640625" style="1"/>
    <col min="9972" max="9972" width="41.33203125" style="1" customWidth="1"/>
    <col min="9973" max="9973" width="5.44140625" style="1" customWidth="1"/>
    <col min="9974" max="9976" width="9.33203125" style="1" customWidth="1"/>
    <col min="9977" max="9979" width="8.6640625" style="1"/>
    <col min="9980" max="9980" width="0" style="1" hidden="1" customWidth="1"/>
    <col min="9981" max="10227" width="8.6640625" style="1"/>
    <col min="10228" max="10228" width="41.33203125" style="1" customWidth="1"/>
    <col min="10229" max="10229" width="5.44140625" style="1" customWidth="1"/>
    <col min="10230" max="10232" width="9.33203125" style="1" customWidth="1"/>
    <col min="10233" max="10235" width="8.6640625" style="1"/>
    <col min="10236" max="10236" width="0" style="1" hidden="1" customWidth="1"/>
    <col min="10237" max="10483" width="8.6640625" style="1"/>
    <col min="10484" max="10484" width="41.33203125" style="1" customWidth="1"/>
    <col min="10485" max="10485" width="5.44140625" style="1" customWidth="1"/>
    <col min="10486" max="10488" width="9.33203125" style="1" customWidth="1"/>
    <col min="10489" max="10491" width="8.6640625" style="1"/>
    <col min="10492" max="10492" width="0" style="1" hidden="1" customWidth="1"/>
    <col min="10493" max="10739" width="8.6640625" style="1"/>
    <col min="10740" max="10740" width="41.33203125" style="1" customWidth="1"/>
    <col min="10741" max="10741" width="5.44140625" style="1" customWidth="1"/>
    <col min="10742" max="10744" width="9.33203125" style="1" customWidth="1"/>
    <col min="10745" max="10747" width="8.6640625" style="1"/>
    <col min="10748" max="10748" width="0" style="1" hidden="1" customWidth="1"/>
    <col min="10749" max="10995" width="8.6640625" style="1"/>
    <col min="10996" max="10996" width="41.33203125" style="1" customWidth="1"/>
    <col min="10997" max="10997" width="5.44140625" style="1" customWidth="1"/>
    <col min="10998" max="11000" width="9.33203125" style="1" customWidth="1"/>
    <col min="11001" max="11003" width="8.6640625" style="1"/>
    <col min="11004" max="11004" width="0" style="1" hidden="1" customWidth="1"/>
    <col min="11005" max="11251" width="8.6640625" style="1"/>
    <col min="11252" max="11252" width="41.33203125" style="1" customWidth="1"/>
    <col min="11253" max="11253" width="5.44140625" style="1" customWidth="1"/>
    <col min="11254" max="11256" width="9.33203125" style="1" customWidth="1"/>
    <col min="11257" max="11259" width="8.6640625" style="1"/>
    <col min="11260" max="11260" width="0" style="1" hidden="1" customWidth="1"/>
    <col min="11261" max="11507" width="8.6640625" style="1"/>
    <col min="11508" max="11508" width="41.33203125" style="1" customWidth="1"/>
    <col min="11509" max="11509" width="5.44140625" style="1" customWidth="1"/>
    <col min="11510" max="11512" width="9.33203125" style="1" customWidth="1"/>
    <col min="11513" max="11515" width="8.6640625" style="1"/>
    <col min="11516" max="11516" width="0" style="1" hidden="1" customWidth="1"/>
    <col min="11517" max="11763" width="8.6640625" style="1"/>
    <col min="11764" max="11764" width="41.33203125" style="1" customWidth="1"/>
    <col min="11765" max="11765" width="5.44140625" style="1" customWidth="1"/>
    <col min="11766" max="11768" width="9.33203125" style="1" customWidth="1"/>
    <col min="11769" max="11771" width="8.6640625" style="1"/>
    <col min="11772" max="11772" width="0" style="1" hidden="1" customWidth="1"/>
    <col min="11773" max="12019" width="8.6640625" style="1"/>
    <col min="12020" max="12020" width="41.33203125" style="1" customWidth="1"/>
    <col min="12021" max="12021" width="5.44140625" style="1" customWidth="1"/>
    <col min="12022" max="12024" width="9.33203125" style="1" customWidth="1"/>
    <col min="12025" max="12027" width="8.6640625" style="1"/>
    <col min="12028" max="12028" width="0" style="1" hidden="1" customWidth="1"/>
    <col min="12029" max="12275" width="8.6640625" style="1"/>
    <col min="12276" max="12276" width="41.33203125" style="1" customWidth="1"/>
    <col min="12277" max="12277" width="5.44140625" style="1" customWidth="1"/>
    <col min="12278" max="12280" width="9.33203125" style="1" customWidth="1"/>
    <col min="12281" max="12283" width="8.6640625" style="1"/>
    <col min="12284" max="12284" width="0" style="1" hidden="1" customWidth="1"/>
    <col min="12285" max="12531" width="8.6640625" style="1"/>
    <col min="12532" max="12532" width="41.33203125" style="1" customWidth="1"/>
    <col min="12533" max="12533" width="5.44140625" style="1" customWidth="1"/>
    <col min="12534" max="12536" width="9.33203125" style="1" customWidth="1"/>
    <col min="12537" max="12539" width="8.6640625" style="1"/>
    <col min="12540" max="12540" width="0" style="1" hidden="1" customWidth="1"/>
    <col min="12541" max="12787" width="8.6640625" style="1"/>
    <col min="12788" max="12788" width="41.33203125" style="1" customWidth="1"/>
    <col min="12789" max="12789" width="5.44140625" style="1" customWidth="1"/>
    <col min="12790" max="12792" width="9.33203125" style="1" customWidth="1"/>
    <col min="12793" max="12795" width="8.6640625" style="1"/>
    <col min="12796" max="12796" width="0" style="1" hidden="1" customWidth="1"/>
    <col min="12797" max="13043" width="8.6640625" style="1"/>
    <col min="13044" max="13044" width="41.33203125" style="1" customWidth="1"/>
    <col min="13045" max="13045" width="5.44140625" style="1" customWidth="1"/>
    <col min="13046" max="13048" width="9.33203125" style="1" customWidth="1"/>
    <col min="13049" max="13051" width="8.6640625" style="1"/>
    <col min="13052" max="13052" width="0" style="1" hidden="1" customWidth="1"/>
    <col min="13053" max="13299" width="8.6640625" style="1"/>
    <col min="13300" max="13300" width="41.33203125" style="1" customWidth="1"/>
    <col min="13301" max="13301" width="5.44140625" style="1" customWidth="1"/>
    <col min="13302" max="13304" width="9.33203125" style="1" customWidth="1"/>
    <col min="13305" max="13307" width="8.6640625" style="1"/>
    <col min="13308" max="13308" width="0" style="1" hidden="1" customWidth="1"/>
    <col min="13309" max="13555" width="8.6640625" style="1"/>
    <col min="13556" max="13556" width="41.33203125" style="1" customWidth="1"/>
    <col min="13557" max="13557" width="5.44140625" style="1" customWidth="1"/>
    <col min="13558" max="13560" width="9.33203125" style="1" customWidth="1"/>
    <col min="13561" max="13563" width="8.6640625" style="1"/>
    <col min="13564" max="13564" width="0" style="1" hidden="1" customWidth="1"/>
    <col min="13565" max="13811" width="8.6640625" style="1"/>
    <col min="13812" max="13812" width="41.33203125" style="1" customWidth="1"/>
    <col min="13813" max="13813" width="5.44140625" style="1" customWidth="1"/>
    <col min="13814" max="13816" width="9.33203125" style="1" customWidth="1"/>
    <col min="13817" max="13819" width="8.6640625" style="1"/>
    <col min="13820" max="13820" width="0" style="1" hidden="1" customWidth="1"/>
    <col min="13821" max="14067" width="8.6640625" style="1"/>
    <col min="14068" max="14068" width="41.33203125" style="1" customWidth="1"/>
    <col min="14069" max="14069" width="5.44140625" style="1" customWidth="1"/>
    <col min="14070" max="14072" width="9.33203125" style="1" customWidth="1"/>
    <col min="14073" max="14075" width="8.6640625" style="1"/>
    <col min="14076" max="14076" width="0" style="1" hidden="1" customWidth="1"/>
    <col min="14077" max="14323" width="8.6640625" style="1"/>
    <col min="14324" max="14324" width="41.33203125" style="1" customWidth="1"/>
    <col min="14325" max="14325" width="5.44140625" style="1" customWidth="1"/>
    <col min="14326" max="14328" width="9.33203125" style="1" customWidth="1"/>
    <col min="14329" max="14331" width="8.6640625" style="1"/>
    <col min="14332" max="14332" width="0" style="1" hidden="1" customWidth="1"/>
    <col min="14333" max="14579" width="8.6640625" style="1"/>
    <col min="14580" max="14580" width="41.33203125" style="1" customWidth="1"/>
    <col min="14581" max="14581" width="5.44140625" style="1" customWidth="1"/>
    <col min="14582" max="14584" width="9.33203125" style="1" customWidth="1"/>
    <col min="14585" max="14587" width="8.6640625" style="1"/>
    <col min="14588" max="14588" width="0" style="1" hidden="1" customWidth="1"/>
    <col min="14589" max="14835" width="8.6640625" style="1"/>
    <col min="14836" max="14836" width="41.33203125" style="1" customWidth="1"/>
    <col min="14837" max="14837" width="5.44140625" style="1" customWidth="1"/>
    <col min="14838" max="14840" width="9.33203125" style="1" customWidth="1"/>
    <col min="14841" max="14843" width="8.6640625" style="1"/>
    <col min="14844" max="14844" width="0" style="1" hidden="1" customWidth="1"/>
    <col min="14845" max="15091" width="8.6640625" style="1"/>
    <col min="15092" max="15092" width="41.33203125" style="1" customWidth="1"/>
    <col min="15093" max="15093" width="5.44140625" style="1" customWidth="1"/>
    <col min="15094" max="15096" width="9.33203125" style="1" customWidth="1"/>
    <col min="15097" max="15099" width="8.6640625" style="1"/>
    <col min="15100" max="15100" width="0" style="1" hidden="1" customWidth="1"/>
    <col min="15101" max="15347" width="8.6640625" style="1"/>
    <col min="15348" max="15348" width="41.33203125" style="1" customWidth="1"/>
    <col min="15349" max="15349" width="5.44140625" style="1" customWidth="1"/>
    <col min="15350" max="15352" width="9.33203125" style="1" customWidth="1"/>
    <col min="15353" max="15355" width="8.6640625" style="1"/>
    <col min="15356" max="15356" width="0" style="1" hidden="1" customWidth="1"/>
    <col min="15357" max="15603" width="8.6640625" style="1"/>
    <col min="15604" max="15604" width="41.33203125" style="1" customWidth="1"/>
    <col min="15605" max="15605" width="5.44140625" style="1" customWidth="1"/>
    <col min="15606" max="15608" width="9.33203125" style="1" customWidth="1"/>
    <col min="15609" max="15611" width="8.6640625" style="1"/>
    <col min="15612" max="15612" width="0" style="1" hidden="1" customWidth="1"/>
    <col min="15613" max="15859" width="8.6640625" style="1"/>
    <col min="15860" max="15860" width="41.33203125" style="1" customWidth="1"/>
    <col min="15861" max="15861" width="5.44140625" style="1" customWidth="1"/>
    <col min="15862" max="15864" width="9.33203125" style="1" customWidth="1"/>
    <col min="15865" max="15867" width="8.6640625" style="1"/>
    <col min="15868" max="15868" width="0" style="1" hidden="1" customWidth="1"/>
    <col min="15869" max="16115" width="8.6640625" style="1"/>
    <col min="16116" max="16116" width="41.33203125" style="1" customWidth="1"/>
    <col min="16117" max="16117" width="5.44140625" style="1" customWidth="1"/>
    <col min="16118" max="16120" width="9.33203125" style="1" customWidth="1"/>
    <col min="16121" max="16123" width="8.6640625" style="1"/>
    <col min="16124" max="16124" width="0" style="1" hidden="1" customWidth="1"/>
    <col min="16125" max="16384" width="8.6640625" style="1"/>
  </cols>
  <sheetData>
    <row r="1" spans="1:32" ht="14.1" customHeight="1" x14ac:dyDescent="0.3">
      <c r="A1" s="79" t="s">
        <v>85</v>
      </c>
    </row>
    <row r="2" spans="1:32" ht="14.1" customHeight="1" x14ac:dyDescent="0.25">
      <c r="A2" s="2" t="s">
        <v>103</v>
      </c>
    </row>
    <row r="3" spans="1:32" ht="14.1" customHeight="1" x14ac:dyDescent="0.25">
      <c r="A3" s="2"/>
    </row>
    <row r="4" spans="1:32" ht="14.1" customHeight="1" x14ac:dyDescent="0.2">
      <c r="A4" s="58" t="s">
        <v>90</v>
      </c>
      <c r="B4" s="59" t="s">
        <v>0</v>
      </c>
      <c r="C4" s="59" t="s">
        <v>1</v>
      </c>
      <c r="D4" s="59" t="s">
        <v>2</v>
      </c>
      <c r="E4" s="59" t="s">
        <v>3</v>
      </c>
      <c r="F4" s="59" t="s">
        <v>4</v>
      </c>
      <c r="G4" s="59" t="s">
        <v>5</v>
      </c>
      <c r="H4" s="59" t="s">
        <v>6</v>
      </c>
      <c r="I4" s="59" t="s">
        <v>7</v>
      </c>
      <c r="J4" s="59" t="s">
        <v>55</v>
      </c>
      <c r="K4" s="59" t="s">
        <v>56</v>
      </c>
      <c r="L4" s="59" t="s">
        <v>57</v>
      </c>
      <c r="M4" s="59" t="s">
        <v>58</v>
      </c>
      <c r="N4" s="59" t="s">
        <v>59</v>
      </c>
      <c r="O4" s="59" t="s">
        <v>61</v>
      </c>
      <c r="P4" s="59" t="s">
        <v>62</v>
      </c>
      <c r="Q4" s="59" t="s">
        <v>64</v>
      </c>
      <c r="R4" s="59" t="s">
        <v>65</v>
      </c>
      <c r="S4" s="59" t="s">
        <v>66</v>
      </c>
      <c r="T4" s="59" t="s">
        <v>67</v>
      </c>
      <c r="U4" s="59" t="s">
        <v>68</v>
      </c>
      <c r="V4" s="59" t="s">
        <v>100</v>
      </c>
      <c r="W4" s="59" t="s">
        <v>71</v>
      </c>
      <c r="X4" s="59" t="s">
        <v>72</v>
      </c>
      <c r="Y4" s="59" t="s">
        <v>79</v>
      </c>
      <c r="Z4" s="59" t="s">
        <v>81</v>
      </c>
      <c r="AA4" s="59" t="s">
        <v>86</v>
      </c>
      <c r="AB4" s="59" t="s">
        <v>88</v>
      </c>
      <c r="AC4" s="59" t="s">
        <v>91</v>
      </c>
      <c r="AD4" s="59" t="s">
        <v>92</v>
      </c>
      <c r="AE4" s="59" t="s">
        <v>96</v>
      </c>
      <c r="AF4" s="59" t="s">
        <v>97</v>
      </c>
    </row>
    <row r="5" spans="1:32" ht="14.1" customHeight="1" x14ac:dyDescent="0.2">
      <c r="A5" s="4" t="s">
        <v>99</v>
      </c>
      <c r="B5" s="23">
        <v>22.2</v>
      </c>
      <c r="C5" s="23">
        <v>32</v>
      </c>
      <c r="D5" s="23">
        <v>38.299999999999997</v>
      </c>
      <c r="E5" s="23">
        <f>+F5-B5-C5-D5</f>
        <v>67.800000000000026</v>
      </c>
      <c r="F5" s="87">
        <v>160.30000000000001</v>
      </c>
      <c r="G5" s="44">
        <v>54.1</v>
      </c>
      <c r="H5" s="44">
        <v>89.8</v>
      </c>
      <c r="I5" s="44">
        <v>23.9</v>
      </c>
      <c r="J5" s="44">
        <v>103.7</v>
      </c>
      <c r="K5" s="87">
        <f>+G5+H5+I5+J5</f>
        <v>271.5</v>
      </c>
      <c r="L5" s="44">
        <v>111</v>
      </c>
      <c r="M5" s="44">
        <v>12.2</v>
      </c>
      <c r="N5" s="44">
        <v>95.4</v>
      </c>
      <c r="O5" s="44">
        <v>59</v>
      </c>
      <c r="P5" s="87">
        <f>+L5+M5+N5+O5</f>
        <v>277.60000000000002</v>
      </c>
      <c r="Q5" s="44">
        <v>78.900000000000006</v>
      </c>
      <c r="R5" s="44">
        <v>90.9</v>
      </c>
      <c r="S5" s="44">
        <v>87.9</v>
      </c>
      <c r="T5" s="44">
        <v>249.6</v>
      </c>
      <c r="U5" s="87">
        <f>+Q5+R5+S5+T5</f>
        <v>507.30000000000007</v>
      </c>
      <c r="V5" s="44">
        <v>181.89999999999998</v>
      </c>
      <c r="W5" s="44">
        <v>164.4</v>
      </c>
      <c r="X5" s="70">
        <v>215.4</v>
      </c>
      <c r="Y5" s="70">
        <v>233.50000000000011</v>
      </c>
      <c r="Z5" s="87">
        <v>795.2</v>
      </c>
      <c r="AA5" s="44">
        <v>281.89999999999998</v>
      </c>
      <c r="AB5" s="44">
        <v>192.6</v>
      </c>
      <c r="AC5" s="44">
        <v>199.59999999999997</v>
      </c>
      <c r="AD5" s="44">
        <f>AE5-AC5-AB5-AA5</f>
        <v>123.79999999999995</v>
      </c>
      <c r="AE5" s="87">
        <v>797.9</v>
      </c>
      <c r="AF5" s="44">
        <v>172.7</v>
      </c>
    </row>
    <row r="6" spans="1:32" s="2" customFormat="1" ht="14.1" customHeight="1" x14ac:dyDescent="0.25">
      <c r="A6" s="5" t="s">
        <v>8</v>
      </c>
      <c r="B6" s="23">
        <v>-7.4</v>
      </c>
      <c r="C6" s="23">
        <v>-10.299999999999999</v>
      </c>
      <c r="D6" s="23">
        <v>-16.100000000000001</v>
      </c>
      <c r="E6" s="23">
        <f t="shared" ref="E6:E21" si="0">+F6-B6-C6-D6</f>
        <v>-39.499999999999993</v>
      </c>
      <c r="F6" s="87">
        <v>-73.3</v>
      </c>
      <c r="G6" s="44">
        <v>-20.9</v>
      </c>
      <c r="H6" s="44">
        <v>-42.8</v>
      </c>
      <c r="I6" s="44">
        <v>-15.599999999999998</v>
      </c>
      <c r="J6" s="44">
        <f>58.8-103.7-0.1</f>
        <v>-45.000000000000007</v>
      </c>
      <c r="K6" s="87">
        <f t="shared" ref="K6:K21" si="1">+G6+H6+I6+J6</f>
        <v>-124.30000000000001</v>
      </c>
      <c r="L6" s="44">
        <v>-45.5</v>
      </c>
      <c r="M6" s="44">
        <v>-6.7</v>
      </c>
      <c r="N6" s="44">
        <v>-33.9</v>
      </c>
      <c r="O6" s="44">
        <v>-37.299999999999997</v>
      </c>
      <c r="P6" s="87">
        <f>+L6+M6+N6+O6</f>
        <v>-123.39999999999999</v>
      </c>
      <c r="Q6" s="44">
        <v>-60.4</v>
      </c>
      <c r="R6" s="44">
        <v>-51.6</v>
      </c>
      <c r="S6" s="44">
        <v>-38.200000000000003</v>
      </c>
      <c r="T6" s="44">
        <v>-116.2</v>
      </c>
      <c r="U6" s="87">
        <f>+Q6+R6+S6+T6+0.1</f>
        <v>-266.29999999999995</v>
      </c>
      <c r="V6" s="44">
        <v>-72</v>
      </c>
      <c r="W6" s="44">
        <v>-88.5</v>
      </c>
      <c r="X6" s="70">
        <v>-85.4</v>
      </c>
      <c r="Y6" s="70">
        <v>-91.9</v>
      </c>
      <c r="Z6" s="87">
        <v>-337.8</v>
      </c>
      <c r="AA6" s="44">
        <v>-99.8</v>
      </c>
      <c r="AB6" s="44">
        <v>-93.6</v>
      </c>
      <c r="AC6" s="44">
        <v>-103.6</v>
      </c>
      <c r="AD6" s="44">
        <f t="shared" ref="AD6:AD21" si="2">AE6-AC6-AB6-AA6</f>
        <v>-86.700000000000031</v>
      </c>
      <c r="AE6" s="87">
        <v>-383.7</v>
      </c>
      <c r="AF6" s="44">
        <v>-61.4</v>
      </c>
    </row>
    <row r="7" spans="1:32" s="2" customFormat="1" ht="14.1" customHeight="1" x14ac:dyDescent="0.25">
      <c r="A7" s="6" t="s">
        <v>98</v>
      </c>
      <c r="B7" s="24">
        <f t="shared" ref="B7" si="3">SUM(B5:B6)</f>
        <v>14.799999999999999</v>
      </c>
      <c r="C7" s="24">
        <v>21.700000000000003</v>
      </c>
      <c r="D7" s="24">
        <v>22.199999999999996</v>
      </c>
      <c r="E7" s="24">
        <f t="shared" si="0"/>
        <v>28.300000000000018</v>
      </c>
      <c r="F7" s="88">
        <f t="shared" ref="F7" si="4">SUM(F5:F6)</f>
        <v>87.000000000000014</v>
      </c>
      <c r="G7" s="45">
        <f t="shared" ref="G7:H7" si="5">SUM(G5:G6)</f>
        <v>33.200000000000003</v>
      </c>
      <c r="H7" s="45">
        <f t="shared" si="5"/>
        <v>47</v>
      </c>
      <c r="I7" s="45">
        <v>8.3000000000000007</v>
      </c>
      <c r="J7" s="45">
        <f t="shared" ref="J7" si="6">SUM(J5:J6)</f>
        <v>58.699999999999996</v>
      </c>
      <c r="K7" s="88">
        <f t="shared" si="1"/>
        <v>147.19999999999999</v>
      </c>
      <c r="L7" s="45">
        <v>65.5</v>
      </c>
      <c r="M7" s="45">
        <v>5.4999999999999991</v>
      </c>
      <c r="N7" s="45">
        <f t="shared" ref="N7:P7" si="7">SUM(N5:N6)</f>
        <v>61.500000000000007</v>
      </c>
      <c r="O7" s="45">
        <f t="shared" si="7"/>
        <v>21.700000000000003</v>
      </c>
      <c r="P7" s="88">
        <f t="shared" si="7"/>
        <v>154.20000000000005</v>
      </c>
      <c r="Q7" s="45">
        <f t="shared" ref="Q7:U7" si="8">SUM(Q5:Q6)</f>
        <v>18.500000000000007</v>
      </c>
      <c r="R7" s="45">
        <v>39.300000000000004</v>
      </c>
      <c r="S7" s="45">
        <v>49.7</v>
      </c>
      <c r="T7" s="45">
        <f>SUM(T5:T6)</f>
        <v>133.39999999999998</v>
      </c>
      <c r="U7" s="88">
        <f t="shared" si="8"/>
        <v>241.00000000000011</v>
      </c>
      <c r="V7" s="45">
        <v>109.89999999999998</v>
      </c>
      <c r="W7" s="45">
        <v>75.900000000000006</v>
      </c>
      <c r="X7" s="24">
        <f t="shared" ref="X7:Y7" si="9">SUM(X5:X6)</f>
        <v>130</v>
      </c>
      <c r="Y7" s="24">
        <f t="shared" si="9"/>
        <v>141.60000000000011</v>
      </c>
      <c r="Z7" s="88">
        <v>457.4</v>
      </c>
      <c r="AA7" s="45">
        <f>SUM(AA5:AA6)</f>
        <v>182.09999999999997</v>
      </c>
      <c r="AB7" s="45">
        <f>SUM(AB5:AB6)</f>
        <v>99</v>
      </c>
      <c r="AC7" s="45">
        <f>SUM(AC5:AC6)</f>
        <v>95.999999999999972</v>
      </c>
      <c r="AD7" s="45">
        <f t="shared" si="2"/>
        <v>37.10000000000008</v>
      </c>
      <c r="AE7" s="88">
        <v>414.2</v>
      </c>
      <c r="AF7" s="45">
        <f>SUM(AF5:AF6)</f>
        <v>111.29999999999998</v>
      </c>
    </row>
    <row r="8" spans="1:32" ht="14.1" customHeight="1" x14ac:dyDescent="0.2">
      <c r="A8" s="7"/>
      <c r="B8" s="32"/>
      <c r="C8" s="32"/>
      <c r="D8" s="32"/>
      <c r="E8" s="32"/>
      <c r="F8" s="89"/>
      <c r="G8" s="46"/>
      <c r="H8" s="46"/>
      <c r="I8" s="46"/>
      <c r="J8" s="46"/>
      <c r="K8" s="89"/>
      <c r="L8" s="46"/>
      <c r="M8" s="46"/>
      <c r="N8" s="46"/>
      <c r="O8" s="46"/>
      <c r="P8" s="89"/>
      <c r="Q8" s="46"/>
      <c r="R8" s="46"/>
      <c r="S8" s="46"/>
      <c r="T8" s="46"/>
      <c r="U8" s="89"/>
      <c r="V8" s="46"/>
      <c r="W8" s="46"/>
      <c r="X8" s="32"/>
      <c r="Y8" s="32"/>
      <c r="Z8" s="89"/>
      <c r="AA8" s="46"/>
      <c r="AB8" s="46"/>
      <c r="AC8" s="46"/>
      <c r="AD8" s="46"/>
      <c r="AE8" s="89"/>
      <c r="AF8" s="46"/>
    </row>
    <row r="9" spans="1:32" s="2" customFormat="1" ht="14.1" customHeight="1" x14ac:dyDescent="0.25">
      <c r="A9" s="5" t="s">
        <v>40</v>
      </c>
      <c r="B9" s="23">
        <v>-14.399999999999999</v>
      </c>
      <c r="C9" s="23">
        <v>-17.800000000000004</v>
      </c>
      <c r="D9" s="23">
        <v>-17.799999999999994</v>
      </c>
      <c r="E9" s="23">
        <v>-20.9</v>
      </c>
      <c r="F9" s="87">
        <v>-70.899999999999991</v>
      </c>
      <c r="G9" s="44">
        <v>-15.799999999999999</v>
      </c>
      <c r="H9" s="44">
        <v>-18.8</v>
      </c>
      <c r="I9" s="44">
        <v>-7.4</v>
      </c>
      <c r="J9" s="44">
        <v>-20.099999999999998</v>
      </c>
      <c r="K9" s="87">
        <v>-62.1</v>
      </c>
      <c r="L9" s="44">
        <v>-19.2</v>
      </c>
      <c r="M9" s="44">
        <v>-9</v>
      </c>
      <c r="N9" s="44">
        <v>-16.100000000000001</v>
      </c>
      <c r="O9" s="44">
        <v>-15.8</v>
      </c>
      <c r="P9" s="87">
        <v>-60.100000000000009</v>
      </c>
      <c r="Q9" s="44">
        <v>-15</v>
      </c>
      <c r="R9" s="44">
        <v>-17.8</v>
      </c>
      <c r="S9" s="44">
        <v>-23.7</v>
      </c>
      <c r="T9" s="44">
        <v>-43</v>
      </c>
      <c r="U9" s="87">
        <v>-99.5</v>
      </c>
      <c r="V9" s="44">
        <v>-36.800000000000004</v>
      </c>
      <c r="W9" s="44">
        <v>-35.400000000000006</v>
      </c>
      <c r="X9" s="70">
        <v>-51.6</v>
      </c>
      <c r="Y9" s="70">
        <v>-57.1</v>
      </c>
      <c r="Z9" s="87">
        <v>-180.9</v>
      </c>
      <c r="AA9" s="44">
        <v>-64</v>
      </c>
      <c r="AB9" s="44">
        <v>-46.1</v>
      </c>
      <c r="AC9" s="44">
        <v>-51.7</v>
      </c>
      <c r="AD9" s="44">
        <f t="shared" si="2"/>
        <v>-35.900000000000006</v>
      </c>
      <c r="AE9" s="87">
        <v>-197.7</v>
      </c>
      <c r="AF9" s="44">
        <v>-48.9</v>
      </c>
    </row>
    <row r="10" spans="1:32" ht="14.1" customHeight="1" x14ac:dyDescent="0.2">
      <c r="A10" s="5" t="s">
        <v>9</v>
      </c>
      <c r="B10" s="8">
        <v>-10.7</v>
      </c>
      <c r="C10" s="8">
        <v>0</v>
      </c>
      <c r="D10" s="8">
        <v>0</v>
      </c>
      <c r="E10" s="8">
        <f t="shared" si="0"/>
        <v>-2.5</v>
      </c>
      <c r="F10" s="87">
        <v>-13.2</v>
      </c>
      <c r="G10" s="8">
        <v>0</v>
      </c>
      <c r="H10" s="8">
        <v>0</v>
      </c>
      <c r="I10" s="8">
        <v>0</v>
      </c>
      <c r="J10" s="8">
        <v>13.3</v>
      </c>
      <c r="K10" s="87">
        <f t="shared" si="1"/>
        <v>13.3</v>
      </c>
      <c r="L10" s="8">
        <v>0</v>
      </c>
      <c r="M10" s="8">
        <v>0</v>
      </c>
      <c r="N10" s="8">
        <v>0</v>
      </c>
      <c r="O10" s="8">
        <v>0</v>
      </c>
      <c r="P10" s="87">
        <f>+L10+M10+N10+O10</f>
        <v>0</v>
      </c>
      <c r="Q10" s="8">
        <v>0</v>
      </c>
      <c r="R10" s="8">
        <v>0</v>
      </c>
      <c r="S10" s="8">
        <v>0</v>
      </c>
      <c r="T10" s="44">
        <v>-0.4</v>
      </c>
      <c r="U10" s="87">
        <f t="shared" ref="U10" si="10">+Q10+R10+S10+T10</f>
        <v>-0.4</v>
      </c>
      <c r="V10" s="70">
        <v>0</v>
      </c>
      <c r="W10" s="70">
        <v>0</v>
      </c>
      <c r="X10" s="70">
        <v>0</v>
      </c>
      <c r="Y10" s="70">
        <v>0</v>
      </c>
      <c r="Z10" s="87">
        <v>0</v>
      </c>
      <c r="AA10" s="70">
        <v>0</v>
      </c>
      <c r="AB10" s="70">
        <v>0</v>
      </c>
      <c r="AC10" s="70">
        <v>0</v>
      </c>
      <c r="AD10" s="70">
        <f t="shared" si="2"/>
        <v>0</v>
      </c>
      <c r="AE10" s="87">
        <v>0</v>
      </c>
      <c r="AF10" s="70"/>
    </row>
    <row r="11" spans="1:32" ht="14.1" customHeight="1" x14ac:dyDescent="0.2">
      <c r="A11" s="6" t="s">
        <v>10</v>
      </c>
      <c r="B11" s="24">
        <f>SUM(B7:B10)</f>
        <v>-10.299999999999999</v>
      </c>
      <c r="C11" s="24">
        <v>3.9</v>
      </c>
      <c r="D11" s="24">
        <v>4.4000000000000012</v>
      </c>
      <c r="E11" s="24">
        <f t="shared" si="0"/>
        <v>4.9000000000000208</v>
      </c>
      <c r="F11" s="88">
        <f>SUM(F7:F10)</f>
        <v>2.9000000000000234</v>
      </c>
      <c r="G11" s="45">
        <f>SUM(G7:G10)</f>
        <v>17.400000000000006</v>
      </c>
      <c r="H11" s="45">
        <f>SUM(H7:H10)</f>
        <v>28.2</v>
      </c>
      <c r="I11" s="45">
        <v>0.90000000000000058</v>
      </c>
      <c r="J11" s="45">
        <f>SUM(J7:J10)</f>
        <v>51.899999999999991</v>
      </c>
      <c r="K11" s="88">
        <f t="shared" si="1"/>
        <v>98.4</v>
      </c>
      <c r="L11" s="45">
        <v>46.3</v>
      </c>
      <c r="M11" s="45">
        <v>-3.5000000000000013</v>
      </c>
      <c r="N11" s="45">
        <f>SUM(N7:N10)</f>
        <v>45.400000000000006</v>
      </c>
      <c r="O11" s="45">
        <f>SUM(O7:O10)</f>
        <v>5.9000000000000021</v>
      </c>
      <c r="P11" s="88">
        <f>SUM(P7:P10)</f>
        <v>94.100000000000037</v>
      </c>
      <c r="Q11" s="45">
        <f>SUM(Q7:Q10)</f>
        <v>3.5000000000000071</v>
      </c>
      <c r="R11" s="45">
        <v>21.500000000000004</v>
      </c>
      <c r="S11" s="45">
        <v>26.000000000000004</v>
      </c>
      <c r="T11" s="45">
        <f>SUM(T9:T10)+T7+0.1</f>
        <v>90.099999999999966</v>
      </c>
      <c r="U11" s="88">
        <f>SUM(U7:U10)</f>
        <v>141.10000000000011</v>
      </c>
      <c r="V11" s="45">
        <v>73.099999999999994</v>
      </c>
      <c r="W11" s="45">
        <v>40.5</v>
      </c>
      <c r="X11" s="24">
        <f>SUM(X7:X10)</f>
        <v>78.400000000000006</v>
      </c>
      <c r="Y11" s="24">
        <f>SUM(Y7:Y10)</f>
        <v>84.500000000000114</v>
      </c>
      <c r="Z11" s="88">
        <v>276.5</v>
      </c>
      <c r="AA11" s="45">
        <f>AA7+AA9</f>
        <v>118.09999999999997</v>
      </c>
      <c r="AB11" s="45">
        <f>AB7+AB9</f>
        <v>52.9</v>
      </c>
      <c r="AC11" s="45">
        <f>AC7+AC9</f>
        <v>44.299999999999969</v>
      </c>
      <c r="AD11" s="45">
        <f t="shared" si="2"/>
        <v>1.2000000000000739</v>
      </c>
      <c r="AE11" s="88">
        <v>216.5</v>
      </c>
      <c r="AF11" s="45">
        <f>AF7+AF9</f>
        <v>62.399999999999984</v>
      </c>
    </row>
    <row r="12" spans="1:32" ht="14.1" customHeight="1" x14ac:dyDescent="0.2">
      <c r="A12" s="9"/>
      <c r="B12" s="33"/>
      <c r="C12" s="33"/>
      <c r="D12" s="33"/>
      <c r="E12" s="33"/>
      <c r="F12" s="90"/>
      <c r="G12" s="47"/>
      <c r="H12" s="47"/>
      <c r="I12" s="47"/>
      <c r="J12" s="47"/>
      <c r="K12" s="90"/>
      <c r="L12" s="47"/>
      <c r="M12" s="47"/>
      <c r="N12" s="47"/>
      <c r="O12" s="47"/>
      <c r="P12" s="90"/>
      <c r="Q12" s="47"/>
      <c r="R12" s="47"/>
      <c r="S12" s="47"/>
      <c r="T12" s="47"/>
      <c r="U12" s="90"/>
      <c r="V12" s="47"/>
      <c r="W12" s="47"/>
      <c r="X12" s="33"/>
      <c r="Y12" s="33"/>
      <c r="Z12" s="90"/>
      <c r="AA12" s="47"/>
      <c r="AB12" s="47"/>
      <c r="AC12" s="47"/>
      <c r="AD12" s="47"/>
      <c r="AE12" s="90"/>
      <c r="AF12" s="47"/>
    </row>
    <row r="13" spans="1:32" ht="14.1" customHeight="1" x14ac:dyDescent="0.2">
      <c r="A13" s="5" t="s">
        <v>11</v>
      </c>
      <c r="B13" s="23">
        <v>0.4</v>
      </c>
      <c r="C13" s="23">
        <v>0.19999999999999996</v>
      </c>
      <c r="D13" s="23">
        <v>9.9999999999999978E-2</v>
      </c>
      <c r="E13" s="23">
        <f t="shared" si="0"/>
        <v>0.20000000000000007</v>
      </c>
      <c r="F13" s="87">
        <v>0.9</v>
      </c>
      <c r="G13" s="44">
        <v>0.2</v>
      </c>
      <c r="H13" s="44">
        <v>0.2</v>
      </c>
      <c r="I13" s="44">
        <v>0.2</v>
      </c>
      <c r="J13" s="44">
        <v>0.1</v>
      </c>
      <c r="K13" s="87">
        <f t="shared" si="1"/>
        <v>0.70000000000000007</v>
      </c>
      <c r="L13" s="44">
        <v>0.1</v>
      </c>
      <c r="M13" s="44">
        <v>0.1</v>
      </c>
      <c r="N13" s="44">
        <v>0.3</v>
      </c>
      <c r="O13" s="44">
        <v>1.2</v>
      </c>
      <c r="P13" s="87">
        <f>+L13+M13+N13+O13</f>
        <v>1.7</v>
      </c>
      <c r="Q13" s="44">
        <v>1.6</v>
      </c>
      <c r="R13" s="44">
        <v>2</v>
      </c>
      <c r="S13" s="44">
        <v>2.5</v>
      </c>
      <c r="T13" s="44">
        <v>2.1</v>
      </c>
      <c r="U13" s="87">
        <f t="shared" ref="U13" si="11">+Q13+R13+S13+T13</f>
        <v>8.1999999999999993</v>
      </c>
      <c r="V13" s="44">
        <v>1.5</v>
      </c>
      <c r="W13" s="44">
        <v>2.4</v>
      </c>
      <c r="X13" s="70">
        <v>4.9000000000000004</v>
      </c>
      <c r="Y13" s="70">
        <v>4.2999999999999989</v>
      </c>
      <c r="Z13" s="87">
        <v>13.1</v>
      </c>
      <c r="AA13" s="44">
        <v>3.3</v>
      </c>
      <c r="AB13" s="44">
        <v>3.7</v>
      </c>
      <c r="AC13" s="44">
        <v>3</v>
      </c>
      <c r="AD13" s="44">
        <f t="shared" si="2"/>
        <v>2.3000000000000007</v>
      </c>
      <c r="AE13" s="87">
        <v>12.3</v>
      </c>
      <c r="AF13" s="44">
        <v>2</v>
      </c>
    </row>
    <row r="14" spans="1:32" ht="14.1" customHeight="1" x14ac:dyDescent="0.2">
      <c r="A14" s="5" t="s">
        <v>112</v>
      </c>
      <c r="B14" s="8">
        <v>0</v>
      </c>
      <c r="C14" s="8">
        <v>0</v>
      </c>
      <c r="D14" s="8">
        <v>0</v>
      </c>
      <c r="E14" s="8">
        <f t="shared" si="0"/>
        <v>0</v>
      </c>
      <c r="F14" s="87">
        <v>0</v>
      </c>
      <c r="G14" s="8">
        <v>0</v>
      </c>
      <c r="H14" s="8">
        <v>0</v>
      </c>
      <c r="I14" s="8">
        <v>0</v>
      </c>
      <c r="J14" s="8">
        <v>0</v>
      </c>
      <c r="K14" s="87">
        <f t="shared" si="1"/>
        <v>0</v>
      </c>
      <c r="L14" s="8">
        <v>0</v>
      </c>
      <c r="M14" s="8">
        <v>0</v>
      </c>
      <c r="N14" s="8">
        <v>0</v>
      </c>
      <c r="O14" s="44">
        <v>-0.5</v>
      </c>
      <c r="P14" s="87">
        <f>+L14+M14+N14+O14</f>
        <v>-0.5</v>
      </c>
      <c r="Q14" s="44">
        <v>-1.6</v>
      </c>
      <c r="R14" s="44">
        <v>-2.7</v>
      </c>
      <c r="S14" s="44">
        <v>-5</v>
      </c>
      <c r="T14" s="44">
        <f>+U14-Q14-R14-S14</f>
        <v>0.99999999999999911</v>
      </c>
      <c r="U14" s="87">
        <v>-8.3000000000000007</v>
      </c>
      <c r="V14" s="44">
        <f>-2.9-3.5</f>
        <v>-6.4</v>
      </c>
      <c r="W14" s="44">
        <f>-5.6-3.3</f>
        <v>-8.8999999999999986</v>
      </c>
      <c r="X14" s="70">
        <f>-10.8-5</f>
        <v>-15.8</v>
      </c>
      <c r="Y14" s="70">
        <f>-16.4-3.5</f>
        <v>-19.899999999999999</v>
      </c>
      <c r="Z14" s="87">
        <v>-51</v>
      </c>
      <c r="AA14" s="44">
        <v>-11.8</v>
      </c>
      <c r="AB14" s="44">
        <f>-4.5-4.8</f>
        <v>-9.3000000000000007</v>
      </c>
      <c r="AC14" s="44">
        <v>-6.4</v>
      </c>
      <c r="AD14" s="44">
        <f t="shared" si="2"/>
        <v>-6.1000000000000014</v>
      </c>
      <c r="AE14" s="87">
        <f>-28.8-4.8</f>
        <v>-33.6</v>
      </c>
      <c r="AF14" s="44">
        <v>-7.6</v>
      </c>
    </row>
    <row r="15" spans="1:32" ht="14.1" customHeight="1" x14ac:dyDescent="0.2">
      <c r="A15" s="5" t="s">
        <v>113</v>
      </c>
      <c r="B15" s="23">
        <v>-5.9</v>
      </c>
      <c r="C15" s="23">
        <v>-3.7999999999999989</v>
      </c>
      <c r="D15" s="23">
        <v>-2.9000000000000004</v>
      </c>
      <c r="E15" s="23">
        <f t="shared" si="0"/>
        <v>-2.2000000000000011</v>
      </c>
      <c r="F15" s="87">
        <v>-14.8</v>
      </c>
      <c r="G15" s="44">
        <v>0.1</v>
      </c>
      <c r="H15" s="44">
        <v>-3.9</v>
      </c>
      <c r="I15" s="44">
        <v>-3</v>
      </c>
      <c r="J15" s="44">
        <v>-3.5</v>
      </c>
      <c r="K15" s="87">
        <f t="shared" si="1"/>
        <v>-10.3</v>
      </c>
      <c r="L15" s="44">
        <v>-0.5</v>
      </c>
      <c r="M15" s="44">
        <v>-2.1</v>
      </c>
      <c r="N15" s="44">
        <v>-2.4</v>
      </c>
      <c r="O15" s="44">
        <f>-7-O14</f>
        <v>-6.5</v>
      </c>
      <c r="P15" s="87">
        <f>+L15+M15+N15+O15</f>
        <v>-11.5</v>
      </c>
      <c r="Q15" s="44">
        <v>-3.3</v>
      </c>
      <c r="R15" s="44">
        <v>-5</v>
      </c>
      <c r="S15" s="44">
        <v>-6</v>
      </c>
      <c r="T15" s="44">
        <f>+U15-S15-R15-Q15</f>
        <v>-4.2</v>
      </c>
      <c r="U15" s="87">
        <f>-17.7-0.7-0.1</f>
        <v>-18.5</v>
      </c>
      <c r="V15" s="44">
        <f>-10.5+3.5</f>
        <v>-7</v>
      </c>
      <c r="W15" s="44">
        <f>-6.5+3.3</f>
        <v>-3.2</v>
      </c>
      <c r="X15" s="70">
        <f>-7.2+5</f>
        <v>-2.2000000000000002</v>
      </c>
      <c r="Y15" s="70">
        <f>0.4+3.5</f>
        <v>3.9</v>
      </c>
      <c r="Z15" s="87">
        <v>-8.5</v>
      </c>
      <c r="AA15" s="44">
        <v>-0.60000000000000009</v>
      </c>
      <c r="AB15" s="44">
        <f>-4.3+4.8</f>
        <v>0.5</v>
      </c>
      <c r="AC15" s="44">
        <v>-5.4</v>
      </c>
      <c r="AD15" s="44">
        <f t="shared" si="2"/>
        <v>-2.0000000000000004</v>
      </c>
      <c r="AE15" s="87">
        <f>-12.3+4.8</f>
        <v>-7.5000000000000009</v>
      </c>
      <c r="AF15" s="44">
        <v>-2.4</v>
      </c>
    </row>
    <row r="16" spans="1:32" ht="14.1" customHeight="1" x14ac:dyDescent="0.2">
      <c r="A16" s="6" t="s">
        <v>82</v>
      </c>
      <c r="B16" s="34">
        <f t="shared" ref="B16" si="12">SUM(B13:B15)</f>
        <v>-5.5</v>
      </c>
      <c r="C16" s="34">
        <v>-3.5999999999999988</v>
      </c>
      <c r="D16" s="34">
        <v>-2.8000000000000003</v>
      </c>
      <c r="E16" s="34">
        <f t="shared" si="0"/>
        <v>-2.0000000000000013</v>
      </c>
      <c r="F16" s="91">
        <f t="shared" ref="F16" si="13">SUM(F13:F15)</f>
        <v>-13.9</v>
      </c>
      <c r="G16" s="48">
        <f t="shared" ref="G16:H16" si="14">SUM(G13:G15)</f>
        <v>0.30000000000000004</v>
      </c>
      <c r="H16" s="48">
        <f t="shared" si="14"/>
        <v>-3.6999999999999997</v>
      </c>
      <c r="I16" s="48">
        <v>-2.8</v>
      </c>
      <c r="J16" s="48">
        <f t="shared" ref="J16" si="15">SUM(J13:J15)</f>
        <v>-3.4</v>
      </c>
      <c r="K16" s="91">
        <f t="shared" si="1"/>
        <v>-9.6</v>
      </c>
      <c r="L16" s="48">
        <v>-0.4</v>
      </c>
      <c r="M16" s="48">
        <v>-2</v>
      </c>
      <c r="N16" s="48">
        <f t="shared" ref="N16:P16" si="16">SUM(N13:N15)</f>
        <v>-2.1</v>
      </c>
      <c r="O16" s="48">
        <f t="shared" si="16"/>
        <v>-5.8</v>
      </c>
      <c r="P16" s="91">
        <f t="shared" si="16"/>
        <v>-10.3</v>
      </c>
      <c r="Q16" s="48">
        <f t="shared" ref="Q16" si="17">SUM(Q13:Q15)</f>
        <v>-3.3</v>
      </c>
      <c r="R16" s="48">
        <v>-5.7</v>
      </c>
      <c r="S16" s="48">
        <v>-8.5</v>
      </c>
      <c r="T16" s="48">
        <f>SUM(T13:T15)</f>
        <v>-1.100000000000001</v>
      </c>
      <c r="U16" s="91">
        <f>SUM(U13:U15)</f>
        <v>-18.600000000000001</v>
      </c>
      <c r="V16" s="48">
        <v>-11.9</v>
      </c>
      <c r="W16" s="48">
        <v>-9.6999999999999993</v>
      </c>
      <c r="X16" s="34">
        <f t="shared" ref="X16:Y16" si="18">SUM(X13:X15)</f>
        <v>-13.100000000000001</v>
      </c>
      <c r="Y16" s="34">
        <f t="shared" si="18"/>
        <v>-11.7</v>
      </c>
      <c r="Z16" s="91">
        <v>-46.4</v>
      </c>
      <c r="AA16" s="48">
        <f>SUM(AA13:AA15)</f>
        <v>-9.1</v>
      </c>
      <c r="AB16" s="48">
        <f>SUM(AB13:AB15)</f>
        <v>-5.1000000000000005</v>
      </c>
      <c r="AC16" s="48">
        <f>SUM(AC13:AC15)</f>
        <v>-8.8000000000000007</v>
      </c>
      <c r="AD16" s="48">
        <f t="shared" si="2"/>
        <v>-5.7999999999999989</v>
      </c>
      <c r="AE16" s="91">
        <v>-28.8</v>
      </c>
      <c r="AF16" s="48">
        <f>SUM(AF13:AF15)</f>
        <v>-8</v>
      </c>
    </row>
    <row r="17" spans="1:34" ht="14.1" customHeight="1" x14ac:dyDescent="0.2">
      <c r="A17" s="10"/>
      <c r="B17" s="35"/>
      <c r="C17" s="35"/>
      <c r="D17" s="35"/>
      <c r="E17" s="35"/>
      <c r="F17" s="92"/>
      <c r="G17" s="49"/>
      <c r="H17" s="49"/>
      <c r="I17" s="49"/>
      <c r="J17" s="49"/>
      <c r="K17" s="92"/>
      <c r="L17" s="49"/>
      <c r="M17" s="49"/>
      <c r="N17" s="49"/>
      <c r="O17" s="49"/>
      <c r="P17" s="92"/>
      <c r="Q17" s="49"/>
      <c r="R17" s="49"/>
      <c r="S17" s="49"/>
      <c r="T17" s="49"/>
      <c r="U17" s="92"/>
      <c r="V17" s="49"/>
      <c r="W17" s="49"/>
      <c r="X17" s="35"/>
      <c r="Y17" s="35"/>
      <c r="Z17" s="92"/>
      <c r="AA17" s="49"/>
      <c r="AB17" s="49"/>
      <c r="AC17" s="49"/>
      <c r="AD17" s="49"/>
      <c r="AE17" s="92"/>
      <c r="AF17" s="49"/>
    </row>
    <row r="18" spans="1:34" ht="14.1" customHeight="1" x14ac:dyDescent="0.2">
      <c r="A18" s="6" t="s">
        <v>12</v>
      </c>
      <c r="B18" s="34">
        <f t="shared" ref="B18" si="19">+B11+B16</f>
        <v>-15.799999999999999</v>
      </c>
      <c r="C18" s="34">
        <v>0.30000000000000115</v>
      </c>
      <c r="D18" s="34">
        <v>1.600000000000001</v>
      </c>
      <c r="E18" s="34">
        <f t="shared" si="0"/>
        <v>2.9000000000000203</v>
      </c>
      <c r="F18" s="91">
        <f t="shared" ref="F18" si="20">+F11+F16</f>
        <v>-10.999999999999977</v>
      </c>
      <c r="G18" s="48">
        <f t="shared" ref="G18:H18" si="21">+G11+G16</f>
        <v>17.700000000000006</v>
      </c>
      <c r="H18" s="48">
        <f t="shared" si="21"/>
        <v>24.5</v>
      </c>
      <c r="I18" s="48">
        <v>-1.8999999999999992</v>
      </c>
      <c r="J18" s="48">
        <f t="shared" ref="J18" si="22">+J11+J16</f>
        <v>48.499999999999993</v>
      </c>
      <c r="K18" s="91">
        <f t="shared" si="1"/>
        <v>88.8</v>
      </c>
      <c r="L18" s="48">
        <v>45.9</v>
      </c>
      <c r="M18" s="48">
        <v>-5.5000000000000018</v>
      </c>
      <c r="N18" s="48">
        <f t="shared" ref="N18:P18" si="23">+N11+N16</f>
        <v>43.300000000000004</v>
      </c>
      <c r="O18" s="48">
        <f t="shared" si="23"/>
        <v>0.10000000000000231</v>
      </c>
      <c r="P18" s="91">
        <f t="shared" si="23"/>
        <v>83.80000000000004</v>
      </c>
      <c r="Q18" s="48">
        <f t="shared" ref="Q18:U18" si="24">+Q11+Q16</f>
        <v>0.20000000000000728</v>
      </c>
      <c r="R18" s="48">
        <v>15.800000000000004</v>
      </c>
      <c r="S18" s="48">
        <v>17.500000000000004</v>
      </c>
      <c r="T18" s="48">
        <f>+T11+T16</f>
        <v>88.999999999999972</v>
      </c>
      <c r="U18" s="91">
        <f t="shared" si="24"/>
        <v>122.50000000000011</v>
      </c>
      <c r="V18" s="48">
        <v>61.199999999999996</v>
      </c>
      <c r="W18" s="48">
        <v>30.8</v>
      </c>
      <c r="X18" s="34">
        <f>+X11+X16</f>
        <v>65.300000000000011</v>
      </c>
      <c r="Y18" s="34">
        <f>+Y11+Y16</f>
        <v>72.800000000000111</v>
      </c>
      <c r="Z18" s="91">
        <v>230.1</v>
      </c>
      <c r="AA18" s="48">
        <f>AA11+AA16</f>
        <v>108.99999999999997</v>
      </c>
      <c r="AB18" s="48">
        <f>AB11+AB16</f>
        <v>47.8</v>
      </c>
      <c r="AC18" s="48">
        <f>AC11+AC16</f>
        <v>35.499999999999972</v>
      </c>
      <c r="AD18" s="48">
        <f t="shared" si="2"/>
        <v>-4.5999999999999517</v>
      </c>
      <c r="AE18" s="91">
        <v>187.7</v>
      </c>
      <c r="AF18" s="48">
        <f>AF11+AF16</f>
        <v>54.399999999999984</v>
      </c>
    </row>
    <row r="19" spans="1:34" ht="14.1" customHeight="1" x14ac:dyDescent="0.2">
      <c r="A19" s="11"/>
      <c r="B19" s="32"/>
      <c r="C19" s="32"/>
      <c r="D19" s="32"/>
      <c r="E19" s="32"/>
      <c r="F19" s="89"/>
      <c r="G19" s="46"/>
      <c r="H19" s="46"/>
      <c r="I19" s="46"/>
      <c r="J19" s="46"/>
      <c r="K19" s="89"/>
      <c r="L19" s="46"/>
      <c r="M19" s="46"/>
      <c r="N19" s="46"/>
      <c r="O19" s="46"/>
      <c r="P19" s="89"/>
      <c r="Q19" s="46"/>
      <c r="R19" s="46"/>
      <c r="S19" s="46"/>
      <c r="T19" s="46"/>
      <c r="U19" s="89"/>
      <c r="V19" s="46"/>
      <c r="W19" s="46"/>
      <c r="X19" s="32"/>
      <c r="Y19" s="32"/>
      <c r="Z19" s="89"/>
      <c r="AA19" s="46"/>
      <c r="AB19" s="46"/>
      <c r="AC19" s="46"/>
      <c r="AD19" s="46"/>
      <c r="AE19" s="89"/>
      <c r="AF19" s="46"/>
    </row>
    <row r="20" spans="1:34" ht="14.1" customHeight="1" x14ac:dyDescent="0.2">
      <c r="A20" s="5" t="s">
        <v>13</v>
      </c>
      <c r="B20" s="23">
        <v>-6.6</v>
      </c>
      <c r="C20" s="23">
        <v>-5.9</v>
      </c>
      <c r="D20" s="23">
        <v>-8.3999999999999986</v>
      </c>
      <c r="E20" s="23">
        <f t="shared" si="0"/>
        <v>-8</v>
      </c>
      <c r="F20" s="87">
        <v>-28.9</v>
      </c>
      <c r="G20" s="44">
        <v>-9.6999999999999993</v>
      </c>
      <c r="H20" s="44">
        <v>-9</v>
      </c>
      <c r="I20" s="44">
        <v>-8.4</v>
      </c>
      <c r="J20" s="44">
        <v>-9.6999999999999993</v>
      </c>
      <c r="K20" s="87">
        <f t="shared" si="1"/>
        <v>-36.799999999999997</v>
      </c>
      <c r="L20" s="44">
        <v>-10.199999999999999</v>
      </c>
      <c r="M20" s="44">
        <v>-11</v>
      </c>
      <c r="N20" s="44">
        <v>-9.5</v>
      </c>
      <c r="O20" s="44">
        <v>-8.1</v>
      </c>
      <c r="P20" s="87">
        <f>+L20+M20+N20+O20</f>
        <v>-38.799999999999997</v>
      </c>
      <c r="Q20" s="44">
        <v>-5.2</v>
      </c>
      <c r="R20" s="44">
        <v>-10.5</v>
      </c>
      <c r="S20" s="44">
        <v>-17</v>
      </c>
      <c r="T20" s="44">
        <v>-8.8000000000000007</v>
      </c>
      <c r="U20" s="87">
        <f>+Q20+R20+S20+T20</f>
        <v>-41.5</v>
      </c>
      <c r="V20" s="44">
        <v>-13.8</v>
      </c>
      <c r="W20" s="44">
        <v>-16.3</v>
      </c>
      <c r="X20" s="70">
        <v>-17.3</v>
      </c>
      <c r="Y20" s="70">
        <v>-16.8</v>
      </c>
      <c r="Z20" s="87">
        <v>-64.2</v>
      </c>
      <c r="AA20" s="44">
        <v>-26</v>
      </c>
      <c r="AB20" s="44">
        <v>-21.1</v>
      </c>
      <c r="AC20" s="44">
        <v>-15.4</v>
      </c>
      <c r="AD20" s="44">
        <f t="shared" si="2"/>
        <v>7.8999999999999986</v>
      </c>
      <c r="AE20" s="87">
        <v>-54.6</v>
      </c>
      <c r="AF20" s="44">
        <v>-21.8</v>
      </c>
    </row>
    <row r="21" spans="1:34" ht="14.1" customHeight="1" x14ac:dyDescent="0.2">
      <c r="A21" s="6" t="s">
        <v>14</v>
      </c>
      <c r="B21" s="24">
        <f t="shared" ref="B21" si="25">+B18+B20</f>
        <v>-22.4</v>
      </c>
      <c r="C21" s="24">
        <v>-5.6</v>
      </c>
      <c r="D21" s="24">
        <v>-6.7999999999999972</v>
      </c>
      <c r="E21" s="24">
        <f t="shared" si="0"/>
        <v>-5.0999999999999819</v>
      </c>
      <c r="F21" s="88">
        <f t="shared" ref="F21" si="26">+F18+F20</f>
        <v>-39.899999999999977</v>
      </c>
      <c r="G21" s="45">
        <f t="shared" ref="G21:H21" si="27">+G18+G20</f>
        <v>8.0000000000000071</v>
      </c>
      <c r="H21" s="45">
        <f t="shared" si="27"/>
        <v>15.5</v>
      </c>
      <c r="I21" s="45">
        <v>-10.299999999999999</v>
      </c>
      <c r="J21" s="45">
        <f t="shared" ref="J21" si="28">+J18+J20</f>
        <v>38.799999999999997</v>
      </c>
      <c r="K21" s="88">
        <f t="shared" si="1"/>
        <v>52.000000000000007</v>
      </c>
      <c r="L21" s="45">
        <v>35.700000000000003</v>
      </c>
      <c r="M21" s="45">
        <v>-16.5</v>
      </c>
      <c r="N21" s="45">
        <f t="shared" ref="N21:P21" si="29">+N18+N20</f>
        <v>33.800000000000004</v>
      </c>
      <c r="O21" s="45">
        <f t="shared" si="29"/>
        <v>-7.9999999999999973</v>
      </c>
      <c r="P21" s="88">
        <f t="shared" si="29"/>
        <v>45.000000000000043</v>
      </c>
      <c r="Q21" s="45">
        <f t="shared" ref="Q21:U21" si="30">+Q18+Q20</f>
        <v>-4.9999999999999929</v>
      </c>
      <c r="R21" s="45">
        <v>5.3000000000000043</v>
      </c>
      <c r="S21" s="45">
        <v>0.50000000000000355</v>
      </c>
      <c r="T21" s="45">
        <f>+T18+T20</f>
        <v>80.199999999999974</v>
      </c>
      <c r="U21" s="88">
        <f t="shared" si="30"/>
        <v>81.000000000000114</v>
      </c>
      <c r="V21" s="45">
        <v>47.399999999999991</v>
      </c>
      <c r="W21" s="45">
        <v>14.5</v>
      </c>
      <c r="X21" s="24">
        <f t="shared" ref="X21:Y21" si="31">+X18+X20</f>
        <v>48.000000000000014</v>
      </c>
      <c r="Y21" s="24">
        <f t="shared" si="31"/>
        <v>56.000000000000114</v>
      </c>
      <c r="Z21" s="88">
        <v>165.9</v>
      </c>
      <c r="AA21" s="45">
        <f>AA18+AA20</f>
        <v>82.999999999999972</v>
      </c>
      <c r="AB21" s="45">
        <f>AB18+AB20</f>
        <v>26.699999999999996</v>
      </c>
      <c r="AC21" s="45">
        <f>AC18+AC20</f>
        <v>20.099999999999973</v>
      </c>
      <c r="AD21" s="45">
        <f t="shared" si="2"/>
        <v>3.3000000000000682</v>
      </c>
      <c r="AE21" s="88">
        <v>133.1</v>
      </c>
      <c r="AF21" s="45">
        <f>AF18+AF20</f>
        <v>32.59999999999998</v>
      </c>
    </row>
    <row r="22" spans="1:34" ht="14.1" customHeight="1" x14ac:dyDescent="0.2">
      <c r="A22" s="11"/>
      <c r="B22" s="36"/>
      <c r="C22" s="36"/>
      <c r="D22" s="36"/>
      <c r="E22" s="36"/>
      <c r="F22" s="93"/>
      <c r="G22" s="50"/>
      <c r="H22" s="50"/>
      <c r="I22" s="50"/>
      <c r="J22" s="50"/>
      <c r="K22" s="93"/>
      <c r="L22" s="50"/>
      <c r="M22" s="50"/>
      <c r="N22" s="50"/>
      <c r="O22" s="50"/>
      <c r="P22" s="93"/>
      <c r="Q22" s="50"/>
      <c r="R22" s="50"/>
      <c r="S22" s="50"/>
      <c r="T22" s="50"/>
      <c r="U22" s="93"/>
      <c r="V22" s="50"/>
      <c r="W22" s="50"/>
      <c r="X22" s="71"/>
      <c r="Y22" s="71"/>
      <c r="Z22" s="93"/>
      <c r="AA22" s="50"/>
      <c r="AB22" s="50"/>
      <c r="AC22" s="50"/>
      <c r="AD22" s="50"/>
      <c r="AE22" s="93"/>
      <c r="AF22" s="50"/>
    </row>
    <row r="23" spans="1:34" ht="14.1" customHeight="1" x14ac:dyDescent="0.2">
      <c r="A23" s="5" t="s">
        <v>83</v>
      </c>
      <c r="B23" s="25">
        <v>-0.1072963943142491</v>
      </c>
      <c r="C23" s="25">
        <v>-2.390054301180132E-2</v>
      </c>
      <c r="D23" s="25">
        <v>-2.9022087942901592E-2</v>
      </c>
      <c r="E23" s="25">
        <v>-2.1766565957176125E-2</v>
      </c>
      <c r="F23" s="94">
        <v>-0.17498096698253865</v>
      </c>
      <c r="G23" s="25">
        <v>3.1687355691078618E-2</v>
      </c>
      <c r="H23" s="25">
        <v>6.0078846703202356E-2</v>
      </c>
      <c r="I23" s="25">
        <v>-3.992336264793446E-2</v>
      </c>
      <c r="J23" s="25">
        <v>0.15</v>
      </c>
      <c r="K23" s="94">
        <v>0.20262555965569246</v>
      </c>
      <c r="L23" s="25">
        <v>0.13837531105374545</v>
      </c>
      <c r="M23" s="25">
        <v>-6.3954975697109243E-2</v>
      </c>
      <c r="N23" s="25">
        <v>0.131010798700745</v>
      </c>
      <c r="O23" s="25">
        <v>-3.1008473065265073E-2</v>
      </c>
      <c r="P23" s="94">
        <v>0.17442266099211626</v>
      </c>
      <c r="Q23" s="25">
        <v>-1.9380295665790651E-2</v>
      </c>
      <c r="R23" s="25">
        <v>2.0543113405738136E-2</v>
      </c>
      <c r="S23" s="25">
        <v>1.9380295665790816E-3</v>
      </c>
      <c r="T23" s="25">
        <v>0.31</v>
      </c>
      <c r="U23" s="94">
        <v>0.31</v>
      </c>
      <c r="V23" s="25">
        <v>0.18372520291169558</v>
      </c>
      <c r="W23" s="25">
        <v>5.6202857430792966E-2</v>
      </c>
      <c r="X23" s="72">
        <v>0.18605083839159056</v>
      </c>
      <c r="Y23" s="72">
        <v>0.21667145359413026</v>
      </c>
      <c r="Z23" s="94">
        <v>0.64</v>
      </c>
      <c r="AA23" s="25">
        <v>0.32</v>
      </c>
      <c r="AB23" s="25">
        <v>0.11</v>
      </c>
      <c r="AC23" s="25">
        <v>7.0000000000000007E-2</v>
      </c>
      <c r="AD23" s="25">
        <v>2.0000000000000018E-2</v>
      </c>
      <c r="AE23" s="94">
        <v>0.52</v>
      </c>
      <c r="AF23" s="25">
        <v>0.13</v>
      </c>
      <c r="AH23" s="86"/>
    </row>
    <row r="24" spans="1:34" ht="14.1" customHeight="1" x14ac:dyDescent="0.2">
      <c r="A24" s="5" t="s">
        <v>84</v>
      </c>
      <c r="B24" s="25">
        <v>-0.1072963943142491</v>
      </c>
      <c r="C24" s="25">
        <v>-2.390054301180132E-2</v>
      </c>
      <c r="D24" s="25">
        <v>-2.9022087942901592E-2</v>
      </c>
      <c r="E24" s="25">
        <v>-2.1766565957176125E-2</v>
      </c>
      <c r="F24" s="94">
        <v>-0.17498096698253865</v>
      </c>
      <c r="G24" s="25">
        <v>3.1687355691078618E-2</v>
      </c>
      <c r="H24" s="25">
        <v>6.0078846703202356E-2</v>
      </c>
      <c r="I24" s="25">
        <v>-4.0108650205720957E-2</v>
      </c>
      <c r="J24" s="25">
        <v>0.15</v>
      </c>
      <c r="K24" s="94">
        <v>0.20262555965569246</v>
      </c>
      <c r="L24" s="25">
        <v>0.13837531105374545</v>
      </c>
      <c r="M24" s="25">
        <v>-6.3954975697109243E-2</v>
      </c>
      <c r="N24" s="25">
        <v>0.131010798700745</v>
      </c>
      <c r="O24" s="25">
        <v>-3.1008473065265073E-2</v>
      </c>
      <c r="P24" s="94">
        <v>0.17442266099211626</v>
      </c>
      <c r="Q24" s="25">
        <v>-1.9097600195559398E-2</v>
      </c>
      <c r="R24" s="25">
        <v>2.0243456207293009E-2</v>
      </c>
      <c r="S24" s="25">
        <v>1.9097600195559562E-3</v>
      </c>
      <c r="T24" s="25">
        <v>0.31</v>
      </c>
      <c r="U24" s="94">
        <v>0.31</v>
      </c>
      <c r="V24" s="25">
        <v>0.1810452498539033</v>
      </c>
      <c r="W24" s="25">
        <v>5.5383040567122337E-2</v>
      </c>
      <c r="X24" s="72">
        <v>0.18605083839159056</v>
      </c>
      <c r="Y24" s="72">
        <v>0.21667145359413026</v>
      </c>
      <c r="Z24" s="94">
        <v>0.64</v>
      </c>
      <c r="AA24" s="25">
        <v>0.32</v>
      </c>
      <c r="AB24" s="25">
        <v>0.11</v>
      </c>
      <c r="AC24" s="25">
        <v>7.0000000000000007E-2</v>
      </c>
      <c r="AD24" s="25">
        <v>1.0000000000000009E-2</v>
      </c>
      <c r="AE24" s="94">
        <v>0.51</v>
      </c>
      <c r="AF24" s="25">
        <v>0.13</v>
      </c>
    </row>
    <row r="25" spans="1:34" ht="14.1" customHeight="1" x14ac:dyDescent="0.2">
      <c r="A25" s="3"/>
      <c r="F25" s="104"/>
      <c r="G25" s="26"/>
      <c r="H25" s="26"/>
      <c r="I25" s="26"/>
      <c r="J25" s="27"/>
      <c r="K25" s="104"/>
      <c r="L25" s="26"/>
      <c r="M25" s="26"/>
      <c r="N25" s="26"/>
      <c r="O25" s="26"/>
      <c r="P25" s="104"/>
      <c r="Q25" s="26"/>
      <c r="R25" s="26"/>
      <c r="S25" s="26"/>
      <c r="T25" s="26"/>
      <c r="U25" s="104"/>
      <c r="X25" s="22"/>
      <c r="Z25" s="104"/>
      <c r="AE25" s="104"/>
    </row>
    <row r="26" spans="1:34" ht="14.1" customHeight="1" x14ac:dyDescent="0.2">
      <c r="A26" s="3"/>
      <c r="F26" s="104"/>
      <c r="G26" s="26"/>
      <c r="H26" s="26"/>
      <c r="I26" s="26"/>
      <c r="J26" s="27"/>
      <c r="K26" s="104"/>
      <c r="L26" s="26"/>
      <c r="M26" s="26"/>
      <c r="N26" s="26"/>
      <c r="O26" s="26"/>
      <c r="P26" s="104"/>
      <c r="Q26" s="26"/>
      <c r="R26" s="26"/>
      <c r="S26" s="26"/>
      <c r="T26" s="26"/>
      <c r="U26" s="104"/>
      <c r="X26" s="22"/>
      <c r="Z26" s="104"/>
      <c r="AE26" s="104"/>
    </row>
    <row r="27" spans="1:34" ht="14.1" customHeight="1" x14ac:dyDescent="0.2">
      <c r="A27" s="63"/>
      <c r="F27" s="104"/>
      <c r="K27" s="104"/>
      <c r="P27" s="104"/>
      <c r="U27" s="104"/>
      <c r="Y27" s="73"/>
      <c r="Z27" s="104"/>
      <c r="AE27" s="104"/>
    </row>
    <row r="28" spans="1:34" ht="14.1" customHeight="1" x14ac:dyDescent="0.25">
      <c r="A28" s="2" t="s">
        <v>106</v>
      </c>
      <c r="F28" s="104"/>
      <c r="K28" s="87"/>
      <c r="P28" s="87"/>
      <c r="U28" s="87"/>
      <c r="Z28" s="87"/>
      <c r="AE28" s="104"/>
    </row>
    <row r="29" spans="1:34" ht="14.1" customHeight="1" x14ac:dyDescent="0.2">
      <c r="A29" s="11" t="s">
        <v>107</v>
      </c>
      <c r="B29" s="36">
        <f t="shared" ref="B29:Z29" si="32">B21</f>
        <v>-22.4</v>
      </c>
      <c r="C29" s="36">
        <f t="shared" si="32"/>
        <v>-5.6</v>
      </c>
      <c r="D29" s="36">
        <f t="shared" si="32"/>
        <v>-6.7999999999999972</v>
      </c>
      <c r="E29" s="36">
        <f t="shared" si="32"/>
        <v>-5.0999999999999819</v>
      </c>
      <c r="F29" s="105">
        <f t="shared" si="32"/>
        <v>-39.899999999999977</v>
      </c>
      <c r="G29" s="106">
        <f t="shared" si="32"/>
        <v>8.0000000000000071</v>
      </c>
      <c r="H29" s="106">
        <f t="shared" si="32"/>
        <v>15.5</v>
      </c>
      <c r="I29" s="106">
        <f t="shared" si="32"/>
        <v>-10.299999999999999</v>
      </c>
      <c r="J29" s="106">
        <f t="shared" si="32"/>
        <v>38.799999999999997</v>
      </c>
      <c r="K29" s="105">
        <f t="shared" si="32"/>
        <v>52.000000000000007</v>
      </c>
      <c r="L29" s="106">
        <f t="shared" si="32"/>
        <v>35.700000000000003</v>
      </c>
      <c r="M29" s="106">
        <f t="shared" si="32"/>
        <v>-16.5</v>
      </c>
      <c r="N29" s="106">
        <f t="shared" si="32"/>
        <v>33.800000000000004</v>
      </c>
      <c r="O29" s="106">
        <f t="shared" si="32"/>
        <v>-7.9999999999999973</v>
      </c>
      <c r="P29" s="105">
        <f t="shared" si="32"/>
        <v>45.000000000000043</v>
      </c>
      <c r="Q29" s="106">
        <f t="shared" si="32"/>
        <v>-4.9999999999999929</v>
      </c>
      <c r="R29" s="106">
        <f t="shared" si="32"/>
        <v>5.3000000000000043</v>
      </c>
      <c r="S29" s="106">
        <f t="shared" si="32"/>
        <v>0.50000000000000355</v>
      </c>
      <c r="T29" s="106">
        <f t="shared" si="32"/>
        <v>80.199999999999974</v>
      </c>
      <c r="U29" s="105">
        <f t="shared" si="32"/>
        <v>81.000000000000114</v>
      </c>
      <c r="V29" s="106">
        <f t="shared" si="32"/>
        <v>47.399999999999991</v>
      </c>
      <c r="W29" s="106">
        <f t="shared" si="32"/>
        <v>14.5</v>
      </c>
      <c r="X29" s="36">
        <f t="shared" si="32"/>
        <v>48.000000000000014</v>
      </c>
      <c r="Y29" s="36">
        <f t="shared" si="32"/>
        <v>56.000000000000114</v>
      </c>
      <c r="Z29" s="105">
        <f t="shared" si="32"/>
        <v>165.9</v>
      </c>
      <c r="AA29" s="106">
        <f t="shared" ref="AA29:AE29" si="33">AA21</f>
        <v>82.999999999999972</v>
      </c>
      <c r="AB29" s="106">
        <f t="shared" si="33"/>
        <v>26.699999999999996</v>
      </c>
      <c r="AC29" s="106">
        <f t="shared" si="33"/>
        <v>20.099999999999973</v>
      </c>
      <c r="AD29" s="106">
        <f t="shared" si="33"/>
        <v>3.3000000000000682</v>
      </c>
      <c r="AE29" s="105">
        <f t="shared" si="33"/>
        <v>133.1</v>
      </c>
      <c r="AF29" s="106">
        <f>AF21</f>
        <v>32.59999999999998</v>
      </c>
    </row>
    <row r="30" spans="1:34" ht="14.1" customHeight="1" x14ac:dyDescent="0.3">
      <c r="A30" s="75"/>
      <c r="F30" s="87"/>
      <c r="K30" s="87"/>
      <c r="P30" s="87"/>
      <c r="U30" s="87"/>
      <c r="Z30" s="87"/>
      <c r="AE30" s="104"/>
    </row>
    <row r="31" spans="1:34" ht="14.1" customHeight="1" x14ac:dyDescent="0.2">
      <c r="A31" s="103" t="s">
        <v>108</v>
      </c>
      <c r="F31" s="87"/>
      <c r="K31" s="87"/>
      <c r="P31" s="87"/>
      <c r="U31" s="87"/>
      <c r="Z31" s="87"/>
      <c r="AE31" s="104"/>
    </row>
    <row r="32" spans="1:34" ht="14.1" customHeight="1" x14ac:dyDescent="0.2">
      <c r="A32" s="5" t="s">
        <v>109</v>
      </c>
      <c r="B32" s="26">
        <v>0</v>
      </c>
      <c r="C32" s="26">
        <v>0</v>
      </c>
      <c r="D32" s="26">
        <v>0</v>
      </c>
      <c r="E32" s="26">
        <v>0</v>
      </c>
      <c r="F32" s="87">
        <v>0</v>
      </c>
      <c r="G32" s="26">
        <v>0</v>
      </c>
      <c r="H32" s="26">
        <v>0</v>
      </c>
      <c r="I32" s="26">
        <v>0</v>
      </c>
      <c r="J32" s="26">
        <v>0</v>
      </c>
      <c r="K32" s="87">
        <v>0</v>
      </c>
      <c r="L32" s="26">
        <v>0</v>
      </c>
      <c r="M32" s="26">
        <v>0</v>
      </c>
      <c r="N32" s="26">
        <v>0</v>
      </c>
      <c r="O32" s="26">
        <v>0</v>
      </c>
      <c r="P32" s="87">
        <v>0</v>
      </c>
      <c r="Q32" s="26">
        <v>0</v>
      </c>
      <c r="R32" s="26">
        <v>0</v>
      </c>
      <c r="S32" s="26">
        <v>0</v>
      </c>
      <c r="T32" s="26">
        <v>0</v>
      </c>
      <c r="U32" s="87">
        <v>0</v>
      </c>
      <c r="V32" s="26">
        <v>0</v>
      </c>
      <c r="W32" s="26">
        <v>0</v>
      </c>
      <c r="X32" s="44">
        <v>-2.6</v>
      </c>
      <c r="Y32" s="44">
        <v>-0.2</v>
      </c>
      <c r="Z32" s="87">
        <v>-2.8</v>
      </c>
      <c r="AA32" s="44">
        <v>-4.8</v>
      </c>
      <c r="AB32" s="44">
        <v>-1.3</v>
      </c>
      <c r="AC32" s="44">
        <v>0.8</v>
      </c>
      <c r="AD32" s="44">
        <v>9.5</v>
      </c>
      <c r="AE32" s="87">
        <v>4.2</v>
      </c>
      <c r="AF32" s="44">
        <v>5</v>
      </c>
    </row>
    <row r="33" spans="1:32" ht="14.1" customHeight="1" x14ac:dyDescent="0.3">
      <c r="A33" s="83" t="s">
        <v>110</v>
      </c>
      <c r="B33" s="26">
        <v>0</v>
      </c>
      <c r="C33" s="26">
        <v>0</v>
      </c>
      <c r="D33" s="26">
        <v>0</v>
      </c>
      <c r="E33" s="26">
        <v>0</v>
      </c>
      <c r="F33" s="107">
        <v>0</v>
      </c>
      <c r="G33" s="26">
        <v>0</v>
      </c>
      <c r="H33" s="26">
        <v>0</v>
      </c>
      <c r="I33" s="26">
        <v>0</v>
      </c>
      <c r="J33" s="26">
        <v>0</v>
      </c>
      <c r="K33" s="107">
        <v>0</v>
      </c>
      <c r="L33" s="26">
        <v>0</v>
      </c>
      <c r="M33" s="26">
        <v>0</v>
      </c>
      <c r="N33" s="26">
        <v>0</v>
      </c>
      <c r="O33" s="26">
        <v>0</v>
      </c>
      <c r="P33" s="107">
        <v>0</v>
      </c>
      <c r="Q33" s="26">
        <v>0</v>
      </c>
      <c r="R33" s="26">
        <v>0</v>
      </c>
      <c r="S33" s="26">
        <v>0</v>
      </c>
      <c r="T33" s="26">
        <v>0</v>
      </c>
      <c r="U33" s="107">
        <v>0</v>
      </c>
      <c r="V33" s="26">
        <v>0</v>
      </c>
      <c r="W33" s="26">
        <v>0</v>
      </c>
      <c r="X33" s="26">
        <v>0</v>
      </c>
      <c r="Y33" s="26">
        <v>0</v>
      </c>
      <c r="Z33" s="87">
        <v>0</v>
      </c>
      <c r="AA33" s="8">
        <v>0</v>
      </c>
      <c r="AB33" s="8">
        <v>0</v>
      </c>
      <c r="AC33" s="8">
        <v>0</v>
      </c>
      <c r="AD33" s="8">
        <v>0</v>
      </c>
      <c r="AE33" s="87">
        <v>0</v>
      </c>
      <c r="AF33" s="44">
        <v>74.7</v>
      </c>
    </row>
    <row r="34" spans="1:32" ht="14.1" customHeight="1" x14ac:dyDescent="0.25">
      <c r="A34" s="6" t="s">
        <v>119</v>
      </c>
      <c r="B34" s="34">
        <f t="shared" ref="B34" si="34">SUM(B32:B33)</f>
        <v>0</v>
      </c>
      <c r="C34" s="34">
        <f t="shared" ref="C34" si="35">SUM(C32:C33)</f>
        <v>0</v>
      </c>
      <c r="D34" s="34">
        <f t="shared" ref="D34" si="36">SUM(D32:D33)</f>
        <v>0</v>
      </c>
      <c r="E34" s="34">
        <f t="shared" ref="E34" si="37">SUM(E32:E33)</f>
        <v>0</v>
      </c>
      <c r="F34" s="91">
        <f t="shared" ref="F34" si="38">SUM(F32:F33)</f>
        <v>0</v>
      </c>
      <c r="G34" s="109">
        <f t="shared" ref="G34" si="39">SUM(G32:G33)</f>
        <v>0</v>
      </c>
      <c r="H34" s="109">
        <f t="shared" ref="H34" si="40">SUM(H32:H33)</f>
        <v>0</v>
      </c>
      <c r="I34" s="109">
        <f t="shared" ref="I34" si="41">SUM(I32:I33)</f>
        <v>0</v>
      </c>
      <c r="J34" s="109">
        <f t="shared" ref="J34" si="42">SUM(J32:J33)</f>
        <v>0</v>
      </c>
      <c r="K34" s="91">
        <f t="shared" ref="K34" si="43">SUM(K32:K33)</f>
        <v>0</v>
      </c>
      <c r="L34" s="109">
        <f t="shared" ref="L34" si="44">SUM(L32:L33)</f>
        <v>0</v>
      </c>
      <c r="M34" s="109">
        <f t="shared" ref="M34" si="45">SUM(M32:M33)</f>
        <v>0</v>
      </c>
      <c r="N34" s="109">
        <f t="shared" ref="N34" si="46">SUM(N32:N33)</f>
        <v>0</v>
      </c>
      <c r="O34" s="109">
        <f t="shared" ref="O34" si="47">SUM(O32:O33)</f>
        <v>0</v>
      </c>
      <c r="P34" s="108">
        <f t="shared" ref="P34" si="48">SUM(P32:P33)</f>
        <v>0</v>
      </c>
      <c r="Q34" s="109">
        <f t="shared" ref="Q34" si="49">SUM(Q32:Q33)</f>
        <v>0</v>
      </c>
      <c r="R34" s="109">
        <f t="shared" ref="R34" si="50">SUM(R32:R33)</f>
        <v>0</v>
      </c>
      <c r="S34" s="109">
        <f t="shared" ref="S34" si="51">SUM(S32:S33)</f>
        <v>0</v>
      </c>
      <c r="T34" s="109">
        <f t="shared" ref="T34" si="52">SUM(T32:T33)</f>
        <v>0</v>
      </c>
      <c r="U34" s="91">
        <f t="shared" ref="U34" si="53">SUM(U32:U33)</f>
        <v>0</v>
      </c>
      <c r="V34" s="109">
        <f t="shared" ref="V34" si="54">SUM(V32:V33)</f>
        <v>0</v>
      </c>
      <c r="W34" s="109">
        <f t="shared" ref="W34" si="55">SUM(W32:W33)</f>
        <v>0</v>
      </c>
      <c r="X34" s="34">
        <f t="shared" ref="X34" si="56">SUM(X32:X33)</f>
        <v>-2.6</v>
      </c>
      <c r="Y34" s="34">
        <f t="shared" ref="Y34" si="57">SUM(Y32:Y33)</f>
        <v>-0.2</v>
      </c>
      <c r="Z34" s="91">
        <f t="shared" ref="Z34:AD34" si="58">SUM(Z32:Z33)</f>
        <v>-2.8</v>
      </c>
      <c r="AA34" s="48">
        <f t="shared" si="58"/>
        <v>-4.8</v>
      </c>
      <c r="AB34" s="48">
        <f t="shared" si="58"/>
        <v>-1.3</v>
      </c>
      <c r="AC34" s="48">
        <f t="shared" si="58"/>
        <v>0.8</v>
      </c>
      <c r="AD34" s="48">
        <f t="shared" si="58"/>
        <v>9.5</v>
      </c>
      <c r="AE34" s="91">
        <f>SUM(AE32:AE33)</f>
        <v>4.2</v>
      </c>
      <c r="AF34" s="48">
        <f>SUM(AF32:AF33)</f>
        <v>79.7</v>
      </c>
    </row>
    <row r="35" spans="1:32" ht="14.1" customHeight="1" x14ac:dyDescent="0.2">
      <c r="A35" s="4" t="s">
        <v>118</v>
      </c>
      <c r="B35" s="32">
        <v>0</v>
      </c>
      <c r="C35" s="32">
        <v>0</v>
      </c>
      <c r="D35" s="32">
        <v>0</v>
      </c>
      <c r="E35" s="32">
        <v>0</v>
      </c>
      <c r="F35" s="89">
        <v>0</v>
      </c>
      <c r="G35" s="32">
        <v>0</v>
      </c>
      <c r="H35" s="32">
        <v>0</v>
      </c>
      <c r="I35" s="32">
        <v>0</v>
      </c>
      <c r="J35" s="32">
        <v>0</v>
      </c>
      <c r="K35" s="89">
        <v>0</v>
      </c>
      <c r="L35" s="32">
        <v>0</v>
      </c>
      <c r="M35" s="32">
        <v>0</v>
      </c>
      <c r="N35" s="32">
        <v>0</v>
      </c>
      <c r="O35" s="32">
        <v>0</v>
      </c>
      <c r="P35" s="89">
        <v>0</v>
      </c>
      <c r="Q35" s="32">
        <v>0</v>
      </c>
      <c r="R35" s="32">
        <v>0</v>
      </c>
      <c r="S35" s="32">
        <v>0</v>
      </c>
      <c r="T35" s="32">
        <v>0</v>
      </c>
      <c r="U35" s="89">
        <v>0</v>
      </c>
      <c r="V35" s="32">
        <v>0</v>
      </c>
      <c r="W35" s="32">
        <v>0</v>
      </c>
      <c r="X35" s="32">
        <v>0</v>
      </c>
      <c r="Y35" s="32">
        <v>0</v>
      </c>
      <c r="Z35" s="89">
        <v>0</v>
      </c>
      <c r="AA35" s="32">
        <v>0</v>
      </c>
      <c r="AB35" s="32">
        <v>0</v>
      </c>
      <c r="AC35" s="32">
        <v>0</v>
      </c>
      <c r="AD35" s="32">
        <v>0</v>
      </c>
      <c r="AE35" s="89">
        <v>0</v>
      </c>
      <c r="AF35" s="110">
        <v>-85.9</v>
      </c>
    </row>
    <row r="36" spans="1:32" ht="14.1" customHeight="1" x14ac:dyDescent="0.25">
      <c r="A36" s="6" t="s">
        <v>120</v>
      </c>
      <c r="B36" s="34">
        <f t="shared" ref="B36:AE36" si="59">SUM(B35)</f>
        <v>0</v>
      </c>
      <c r="C36" s="34">
        <f t="shared" si="59"/>
        <v>0</v>
      </c>
      <c r="D36" s="34">
        <f t="shared" si="59"/>
        <v>0</v>
      </c>
      <c r="E36" s="34">
        <f t="shared" si="59"/>
        <v>0</v>
      </c>
      <c r="F36" s="91">
        <f t="shared" si="59"/>
        <v>0</v>
      </c>
      <c r="G36" s="109">
        <f t="shared" si="59"/>
        <v>0</v>
      </c>
      <c r="H36" s="109">
        <f t="shared" si="59"/>
        <v>0</v>
      </c>
      <c r="I36" s="109">
        <f t="shared" si="59"/>
        <v>0</v>
      </c>
      <c r="J36" s="109">
        <f t="shared" si="59"/>
        <v>0</v>
      </c>
      <c r="K36" s="91">
        <f t="shared" si="59"/>
        <v>0</v>
      </c>
      <c r="L36" s="109">
        <f t="shared" si="59"/>
        <v>0</v>
      </c>
      <c r="M36" s="109">
        <f t="shared" si="59"/>
        <v>0</v>
      </c>
      <c r="N36" s="109">
        <f t="shared" si="59"/>
        <v>0</v>
      </c>
      <c r="O36" s="109">
        <f t="shared" si="59"/>
        <v>0</v>
      </c>
      <c r="P36" s="108">
        <f t="shared" si="59"/>
        <v>0</v>
      </c>
      <c r="Q36" s="109">
        <f t="shared" si="59"/>
        <v>0</v>
      </c>
      <c r="R36" s="109">
        <f t="shared" si="59"/>
        <v>0</v>
      </c>
      <c r="S36" s="109">
        <f t="shared" si="59"/>
        <v>0</v>
      </c>
      <c r="T36" s="109">
        <f t="shared" si="59"/>
        <v>0</v>
      </c>
      <c r="U36" s="91">
        <f t="shared" si="59"/>
        <v>0</v>
      </c>
      <c r="V36" s="109">
        <f t="shared" si="59"/>
        <v>0</v>
      </c>
      <c r="W36" s="109">
        <f t="shared" si="59"/>
        <v>0</v>
      </c>
      <c r="X36" s="34">
        <f t="shared" si="59"/>
        <v>0</v>
      </c>
      <c r="Y36" s="34">
        <f t="shared" si="59"/>
        <v>0</v>
      </c>
      <c r="Z36" s="91">
        <f t="shared" si="59"/>
        <v>0</v>
      </c>
      <c r="AA36" s="34">
        <f t="shared" si="59"/>
        <v>0</v>
      </c>
      <c r="AB36" s="34">
        <f t="shared" si="59"/>
        <v>0</v>
      </c>
      <c r="AC36" s="34">
        <f t="shared" si="59"/>
        <v>0</v>
      </c>
      <c r="AD36" s="34">
        <f t="shared" si="59"/>
        <v>0</v>
      </c>
      <c r="AE36" s="91">
        <f t="shared" si="59"/>
        <v>0</v>
      </c>
      <c r="AF36" s="48">
        <f>SUM(AF35)</f>
        <v>-85.9</v>
      </c>
    </row>
    <row r="37" spans="1:32" ht="14.1" customHeight="1" x14ac:dyDescent="0.2">
      <c r="A37" s="102"/>
      <c r="F37" s="104"/>
      <c r="K37" s="104"/>
      <c r="P37" s="104"/>
      <c r="U37" s="104"/>
      <c r="Z37" s="104"/>
      <c r="AE37" s="104"/>
    </row>
    <row r="38" spans="1:32" ht="14.1" customHeight="1" x14ac:dyDescent="0.2">
      <c r="A38" s="6" t="s">
        <v>111</v>
      </c>
      <c r="B38" s="34">
        <f t="shared" ref="B38:AE38" si="60">B29+B34+B36</f>
        <v>-22.4</v>
      </c>
      <c r="C38" s="34">
        <f t="shared" si="60"/>
        <v>-5.6</v>
      </c>
      <c r="D38" s="34">
        <f t="shared" si="60"/>
        <v>-6.7999999999999972</v>
      </c>
      <c r="E38" s="34">
        <f t="shared" si="60"/>
        <v>-5.0999999999999819</v>
      </c>
      <c r="F38" s="91">
        <f t="shared" si="60"/>
        <v>-39.899999999999977</v>
      </c>
      <c r="G38" s="48">
        <f t="shared" si="60"/>
        <v>8.0000000000000071</v>
      </c>
      <c r="H38" s="48">
        <f t="shared" si="60"/>
        <v>15.5</v>
      </c>
      <c r="I38" s="48">
        <f t="shared" si="60"/>
        <v>-10.299999999999999</v>
      </c>
      <c r="J38" s="48">
        <f t="shared" si="60"/>
        <v>38.799999999999997</v>
      </c>
      <c r="K38" s="91">
        <f t="shared" si="60"/>
        <v>52.000000000000007</v>
      </c>
      <c r="L38" s="48">
        <f t="shared" si="60"/>
        <v>35.700000000000003</v>
      </c>
      <c r="M38" s="48">
        <f t="shared" si="60"/>
        <v>-16.5</v>
      </c>
      <c r="N38" s="48">
        <f t="shared" si="60"/>
        <v>33.800000000000004</v>
      </c>
      <c r="O38" s="48">
        <f t="shared" si="60"/>
        <v>-7.9999999999999973</v>
      </c>
      <c r="P38" s="91">
        <f t="shared" si="60"/>
        <v>45.000000000000043</v>
      </c>
      <c r="Q38" s="48">
        <f t="shared" si="60"/>
        <v>-4.9999999999999929</v>
      </c>
      <c r="R38" s="48">
        <f t="shared" si="60"/>
        <v>5.3000000000000043</v>
      </c>
      <c r="S38" s="48">
        <f t="shared" si="60"/>
        <v>0.50000000000000355</v>
      </c>
      <c r="T38" s="48">
        <f t="shared" si="60"/>
        <v>80.199999999999974</v>
      </c>
      <c r="U38" s="91">
        <f t="shared" si="60"/>
        <v>81.000000000000114</v>
      </c>
      <c r="V38" s="48">
        <f t="shared" si="60"/>
        <v>47.399999999999991</v>
      </c>
      <c r="W38" s="48">
        <f t="shared" si="60"/>
        <v>14.5</v>
      </c>
      <c r="X38" s="34">
        <f t="shared" si="60"/>
        <v>45.400000000000013</v>
      </c>
      <c r="Y38" s="34">
        <f t="shared" si="60"/>
        <v>55.800000000000111</v>
      </c>
      <c r="Z38" s="91">
        <f t="shared" si="60"/>
        <v>163.1</v>
      </c>
      <c r="AA38" s="48">
        <f t="shared" si="60"/>
        <v>78.199999999999974</v>
      </c>
      <c r="AB38" s="48">
        <f t="shared" si="60"/>
        <v>25.399999999999995</v>
      </c>
      <c r="AC38" s="48">
        <f t="shared" si="60"/>
        <v>20.899999999999974</v>
      </c>
      <c r="AD38" s="48">
        <f t="shared" si="60"/>
        <v>12.800000000000068</v>
      </c>
      <c r="AE38" s="91">
        <f t="shared" si="60"/>
        <v>137.29999999999998</v>
      </c>
      <c r="AF38" s="48">
        <f>AF29+AF34+AF36</f>
        <v>26.399999999999977</v>
      </c>
    </row>
  </sheetData>
  <phoneticPr fontId="8" type="noConversion"/>
  <printOptions horizontalCentered="1"/>
  <pageMargins left="0.7" right="0.7" top="0.75" bottom="0.75" header="0.3" footer="0.3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2060"/>
    <pageSetUpPr fitToPage="1"/>
  </sheetPr>
  <dimension ref="A1:Z42"/>
  <sheetViews>
    <sheetView showGridLines="0" topLeftCell="A3" zoomScaleNormal="100" workbookViewId="0">
      <selection activeCell="AB4" sqref="AB4"/>
    </sheetView>
  </sheetViews>
  <sheetFormatPr defaultColWidth="8.6640625" defaultRowHeight="14.1" customHeight="1" outlineLevelCol="1" x14ac:dyDescent="0.25"/>
  <cols>
    <col min="1" max="1" width="37.6640625" style="13" bestFit="1" customWidth="1"/>
    <col min="2" max="21" width="8.6640625" style="13" hidden="1" customWidth="1" outlineLevel="1"/>
    <col min="22" max="22" width="8.6640625" style="13" customWidth="1" collapsed="1"/>
    <col min="23" max="25" width="8.6640625" style="13" customWidth="1"/>
    <col min="26" max="221" width="8.6640625" style="13"/>
    <col min="222" max="222" width="42" style="13" customWidth="1"/>
    <col min="223" max="223" width="6.44140625" style="13" customWidth="1"/>
    <col min="224" max="226" width="10.33203125" style="13" customWidth="1"/>
    <col min="227" max="227" width="0" style="13" hidden="1" customWidth="1"/>
    <col min="228" max="228" width="10.33203125" style="13" customWidth="1"/>
    <col min="229" max="477" width="8.6640625" style="13"/>
    <col min="478" max="478" width="42" style="13" customWidth="1"/>
    <col min="479" max="479" width="6.44140625" style="13" customWidth="1"/>
    <col min="480" max="482" width="10.33203125" style="13" customWidth="1"/>
    <col min="483" max="483" width="0" style="13" hidden="1" customWidth="1"/>
    <col min="484" max="484" width="10.33203125" style="13" customWidth="1"/>
    <col min="485" max="733" width="8.6640625" style="13"/>
    <col min="734" max="734" width="42" style="13" customWidth="1"/>
    <col min="735" max="735" width="6.44140625" style="13" customWidth="1"/>
    <col min="736" max="738" width="10.33203125" style="13" customWidth="1"/>
    <col min="739" max="739" width="0" style="13" hidden="1" customWidth="1"/>
    <col min="740" max="740" width="10.33203125" style="13" customWidth="1"/>
    <col min="741" max="989" width="8.6640625" style="13"/>
    <col min="990" max="990" width="42" style="13" customWidth="1"/>
    <col min="991" max="991" width="6.44140625" style="13" customWidth="1"/>
    <col min="992" max="994" width="10.33203125" style="13" customWidth="1"/>
    <col min="995" max="995" width="0" style="13" hidden="1" customWidth="1"/>
    <col min="996" max="996" width="10.33203125" style="13" customWidth="1"/>
    <col min="997" max="1245" width="8.6640625" style="13"/>
    <col min="1246" max="1246" width="42" style="13" customWidth="1"/>
    <col min="1247" max="1247" width="6.44140625" style="13" customWidth="1"/>
    <col min="1248" max="1250" width="10.33203125" style="13" customWidth="1"/>
    <col min="1251" max="1251" width="0" style="13" hidden="1" customWidth="1"/>
    <col min="1252" max="1252" width="10.33203125" style="13" customWidth="1"/>
    <col min="1253" max="1501" width="8.6640625" style="13"/>
    <col min="1502" max="1502" width="42" style="13" customWidth="1"/>
    <col min="1503" max="1503" width="6.44140625" style="13" customWidth="1"/>
    <col min="1504" max="1506" width="10.33203125" style="13" customWidth="1"/>
    <col min="1507" max="1507" width="0" style="13" hidden="1" customWidth="1"/>
    <col min="1508" max="1508" width="10.33203125" style="13" customWidth="1"/>
    <col min="1509" max="1757" width="8.6640625" style="13"/>
    <col min="1758" max="1758" width="42" style="13" customWidth="1"/>
    <col min="1759" max="1759" width="6.44140625" style="13" customWidth="1"/>
    <col min="1760" max="1762" width="10.33203125" style="13" customWidth="1"/>
    <col min="1763" max="1763" width="0" style="13" hidden="1" customWidth="1"/>
    <col min="1764" max="1764" width="10.33203125" style="13" customWidth="1"/>
    <col min="1765" max="2013" width="8.6640625" style="13"/>
    <col min="2014" max="2014" width="42" style="13" customWidth="1"/>
    <col min="2015" max="2015" width="6.44140625" style="13" customWidth="1"/>
    <col min="2016" max="2018" width="10.33203125" style="13" customWidth="1"/>
    <col min="2019" max="2019" width="0" style="13" hidden="1" customWidth="1"/>
    <col min="2020" max="2020" width="10.33203125" style="13" customWidth="1"/>
    <col min="2021" max="2269" width="8.6640625" style="13"/>
    <col min="2270" max="2270" width="42" style="13" customWidth="1"/>
    <col min="2271" max="2271" width="6.44140625" style="13" customWidth="1"/>
    <col min="2272" max="2274" width="10.33203125" style="13" customWidth="1"/>
    <col min="2275" max="2275" width="0" style="13" hidden="1" customWidth="1"/>
    <col min="2276" max="2276" width="10.33203125" style="13" customWidth="1"/>
    <col min="2277" max="2525" width="8.6640625" style="13"/>
    <col min="2526" max="2526" width="42" style="13" customWidth="1"/>
    <col min="2527" max="2527" width="6.44140625" style="13" customWidth="1"/>
    <col min="2528" max="2530" width="10.33203125" style="13" customWidth="1"/>
    <col min="2531" max="2531" width="0" style="13" hidden="1" customWidth="1"/>
    <col min="2532" max="2532" width="10.33203125" style="13" customWidth="1"/>
    <col min="2533" max="2781" width="8.6640625" style="13"/>
    <col min="2782" max="2782" width="42" style="13" customWidth="1"/>
    <col min="2783" max="2783" width="6.44140625" style="13" customWidth="1"/>
    <col min="2784" max="2786" width="10.33203125" style="13" customWidth="1"/>
    <col min="2787" max="2787" width="0" style="13" hidden="1" customWidth="1"/>
    <col min="2788" max="2788" width="10.33203125" style="13" customWidth="1"/>
    <col min="2789" max="3037" width="8.6640625" style="13"/>
    <col min="3038" max="3038" width="42" style="13" customWidth="1"/>
    <col min="3039" max="3039" width="6.44140625" style="13" customWidth="1"/>
    <col min="3040" max="3042" width="10.33203125" style="13" customWidth="1"/>
    <col min="3043" max="3043" width="0" style="13" hidden="1" customWidth="1"/>
    <col min="3044" max="3044" width="10.33203125" style="13" customWidth="1"/>
    <col min="3045" max="3293" width="8.6640625" style="13"/>
    <col min="3294" max="3294" width="42" style="13" customWidth="1"/>
    <col min="3295" max="3295" width="6.44140625" style="13" customWidth="1"/>
    <col min="3296" max="3298" width="10.33203125" style="13" customWidth="1"/>
    <col min="3299" max="3299" width="0" style="13" hidden="1" customWidth="1"/>
    <col min="3300" max="3300" width="10.33203125" style="13" customWidth="1"/>
    <col min="3301" max="3549" width="8.6640625" style="13"/>
    <col min="3550" max="3550" width="42" style="13" customWidth="1"/>
    <col min="3551" max="3551" width="6.44140625" style="13" customWidth="1"/>
    <col min="3552" max="3554" width="10.33203125" style="13" customWidth="1"/>
    <col min="3555" max="3555" width="0" style="13" hidden="1" customWidth="1"/>
    <col min="3556" max="3556" width="10.33203125" style="13" customWidth="1"/>
    <col min="3557" max="3805" width="8.6640625" style="13"/>
    <col min="3806" max="3806" width="42" style="13" customWidth="1"/>
    <col min="3807" max="3807" width="6.44140625" style="13" customWidth="1"/>
    <col min="3808" max="3810" width="10.33203125" style="13" customWidth="1"/>
    <col min="3811" max="3811" width="0" style="13" hidden="1" customWidth="1"/>
    <col min="3812" max="3812" width="10.33203125" style="13" customWidth="1"/>
    <col min="3813" max="4061" width="8.6640625" style="13"/>
    <col min="4062" max="4062" width="42" style="13" customWidth="1"/>
    <col min="4063" max="4063" width="6.44140625" style="13" customWidth="1"/>
    <col min="4064" max="4066" width="10.33203125" style="13" customWidth="1"/>
    <col min="4067" max="4067" width="0" style="13" hidden="1" customWidth="1"/>
    <col min="4068" max="4068" width="10.33203125" style="13" customWidth="1"/>
    <col min="4069" max="4317" width="8.6640625" style="13"/>
    <col min="4318" max="4318" width="42" style="13" customWidth="1"/>
    <col min="4319" max="4319" width="6.44140625" style="13" customWidth="1"/>
    <col min="4320" max="4322" width="10.33203125" style="13" customWidth="1"/>
    <col min="4323" max="4323" width="0" style="13" hidden="1" customWidth="1"/>
    <col min="4324" max="4324" width="10.33203125" style="13" customWidth="1"/>
    <col min="4325" max="4573" width="8.6640625" style="13"/>
    <col min="4574" max="4574" width="42" style="13" customWidth="1"/>
    <col min="4575" max="4575" width="6.44140625" style="13" customWidth="1"/>
    <col min="4576" max="4578" width="10.33203125" style="13" customWidth="1"/>
    <col min="4579" max="4579" width="0" style="13" hidden="1" customWidth="1"/>
    <col min="4580" max="4580" width="10.33203125" style="13" customWidth="1"/>
    <col min="4581" max="4829" width="8.6640625" style="13"/>
    <col min="4830" max="4830" width="42" style="13" customWidth="1"/>
    <col min="4831" max="4831" width="6.44140625" style="13" customWidth="1"/>
    <col min="4832" max="4834" width="10.33203125" style="13" customWidth="1"/>
    <col min="4835" max="4835" width="0" style="13" hidden="1" customWidth="1"/>
    <col min="4836" max="4836" width="10.33203125" style="13" customWidth="1"/>
    <col min="4837" max="5085" width="8.6640625" style="13"/>
    <col min="5086" max="5086" width="42" style="13" customWidth="1"/>
    <col min="5087" max="5087" width="6.44140625" style="13" customWidth="1"/>
    <col min="5088" max="5090" width="10.33203125" style="13" customWidth="1"/>
    <col min="5091" max="5091" width="0" style="13" hidden="1" customWidth="1"/>
    <col min="5092" max="5092" width="10.33203125" style="13" customWidth="1"/>
    <col min="5093" max="5341" width="8.6640625" style="13"/>
    <col min="5342" max="5342" width="42" style="13" customWidth="1"/>
    <col min="5343" max="5343" width="6.44140625" style="13" customWidth="1"/>
    <col min="5344" max="5346" width="10.33203125" style="13" customWidth="1"/>
    <col min="5347" max="5347" width="0" style="13" hidden="1" customWidth="1"/>
    <col min="5348" max="5348" width="10.33203125" style="13" customWidth="1"/>
    <col min="5349" max="5597" width="8.6640625" style="13"/>
    <col min="5598" max="5598" width="42" style="13" customWidth="1"/>
    <col min="5599" max="5599" width="6.44140625" style="13" customWidth="1"/>
    <col min="5600" max="5602" width="10.33203125" style="13" customWidth="1"/>
    <col min="5603" max="5603" width="0" style="13" hidden="1" customWidth="1"/>
    <col min="5604" max="5604" width="10.33203125" style="13" customWidth="1"/>
    <col min="5605" max="5853" width="8.6640625" style="13"/>
    <col min="5854" max="5854" width="42" style="13" customWidth="1"/>
    <col min="5855" max="5855" width="6.44140625" style="13" customWidth="1"/>
    <col min="5856" max="5858" width="10.33203125" style="13" customWidth="1"/>
    <col min="5859" max="5859" width="0" style="13" hidden="1" customWidth="1"/>
    <col min="5860" max="5860" width="10.33203125" style="13" customWidth="1"/>
    <col min="5861" max="6109" width="8.6640625" style="13"/>
    <col min="6110" max="6110" width="42" style="13" customWidth="1"/>
    <col min="6111" max="6111" width="6.44140625" style="13" customWidth="1"/>
    <col min="6112" max="6114" width="10.33203125" style="13" customWidth="1"/>
    <col min="6115" max="6115" width="0" style="13" hidden="1" customWidth="1"/>
    <col min="6116" max="6116" width="10.33203125" style="13" customWidth="1"/>
    <col min="6117" max="6365" width="8.6640625" style="13"/>
    <col min="6366" max="6366" width="42" style="13" customWidth="1"/>
    <col min="6367" max="6367" width="6.44140625" style="13" customWidth="1"/>
    <col min="6368" max="6370" width="10.33203125" style="13" customWidth="1"/>
    <col min="6371" max="6371" width="0" style="13" hidden="1" customWidth="1"/>
    <col min="6372" max="6372" width="10.33203125" style="13" customWidth="1"/>
    <col min="6373" max="6621" width="8.6640625" style="13"/>
    <col min="6622" max="6622" width="42" style="13" customWidth="1"/>
    <col min="6623" max="6623" width="6.44140625" style="13" customWidth="1"/>
    <col min="6624" max="6626" width="10.33203125" style="13" customWidth="1"/>
    <col min="6627" max="6627" width="0" style="13" hidden="1" customWidth="1"/>
    <col min="6628" max="6628" width="10.33203125" style="13" customWidth="1"/>
    <col min="6629" max="6877" width="8.6640625" style="13"/>
    <col min="6878" max="6878" width="42" style="13" customWidth="1"/>
    <col min="6879" max="6879" width="6.44140625" style="13" customWidth="1"/>
    <col min="6880" max="6882" width="10.33203125" style="13" customWidth="1"/>
    <col min="6883" max="6883" width="0" style="13" hidden="1" customWidth="1"/>
    <col min="6884" max="6884" width="10.33203125" style="13" customWidth="1"/>
    <col min="6885" max="7133" width="8.6640625" style="13"/>
    <col min="7134" max="7134" width="42" style="13" customWidth="1"/>
    <col min="7135" max="7135" width="6.44140625" style="13" customWidth="1"/>
    <col min="7136" max="7138" width="10.33203125" style="13" customWidth="1"/>
    <col min="7139" max="7139" width="0" style="13" hidden="1" customWidth="1"/>
    <col min="7140" max="7140" width="10.33203125" style="13" customWidth="1"/>
    <col min="7141" max="7389" width="8.6640625" style="13"/>
    <col min="7390" max="7390" width="42" style="13" customWidth="1"/>
    <col min="7391" max="7391" width="6.44140625" style="13" customWidth="1"/>
    <col min="7392" max="7394" width="10.33203125" style="13" customWidth="1"/>
    <col min="7395" max="7395" width="0" style="13" hidden="1" customWidth="1"/>
    <col min="7396" max="7396" width="10.33203125" style="13" customWidth="1"/>
    <col min="7397" max="7645" width="8.6640625" style="13"/>
    <col min="7646" max="7646" width="42" style="13" customWidth="1"/>
    <col min="7647" max="7647" width="6.44140625" style="13" customWidth="1"/>
    <col min="7648" max="7650" width="10.33203125" style="13" customWidth="1"/>
    <col min="7651" max="7651" width="0" style="13" hidden="1" customWidth="1"/>
    <col min="7652" max="7652" width="10.33203125" style="13" customWidth="1"/>
    <col min="7653" max="7901" width="8.6640625" style="13"/>
    <col min="7902" max="7902" width="42" style="13" customWidth="1"/>
    <col min="7903" max="7903" width="6.44140625" style="13" customWidth="1"/>
    <col min="7904" max="7906" width="10.33203125" style="13" customWidth="1"/>
    <col min="7907" max="7907" width="0" style="13" hidden="1" customWidth="1"/>
    <col min="7908" max="7908" width="10.33203125" style="13" customWidth="1"/>
    <col min="7909" max="8157" width="8.6640625" style="13"/>
    <col min="8158" max="8158" width="42" style="13" customWidth="1"/>
    <col min="8159" max="8159" width="6.44140625" style="13" customWidth="1"/>
    <col min="8160" max="8162" width="10.33203125" style="13" customWidth="1"/>
    <col min="8163" max="8163" width="0" style="13" hidden="1" customWidth="1"/>
    <col min="8164" max="8164" width="10.33203125" style="13" customWidth="1"/>
    <col min="8165" max="8413" width="8.6640625" style="13"/>
    <col min="8414" max="8414" width="42" style="13" customWidth="1"/>
    <col min="8415" max="8415" width="6.44140625" style="13" customWidth="1"/>
    <col min="8416" max="8418" width="10.33203125" style="13" customWidth="1"/>
    <col min="8419" max="8419" width="0" style="13" hidden="1" customWidth="1"/>
    <col min="8420" max="8420" width="10.33203125" style="13" customWidth="1"/>
    <col min="8421" max="8669" width="8.6640625" style="13"/>
    <col min="8670" max="8670" width="42" style="13" customWidth="1"/>
    <col min="8671" max="8671" width="6.44140625" style="13" customWidth="1"/>
    <col min="8672" max="8674" width="10.33203125" style="13" customWidth="1"/>
    <col min="8675" max="8675" width="0" style="13" hidden="1" customWidth="1"/>
    <col min="8676" max="8676" width="10.33203125" style="13" customWidth="1"/>
    <col min="8677" max="8925" width="8.6640625" style="13"/>
    <col min="8926" max="8926" width="42" style="13" customWidth="1"/>
    <col min="8927" max="8927" width="6.44140625" style="13" customWidth="1"/>
    <col min="8928" max="8930" width="10.33203125" style="13" customWidth="1"/>
    <col min="8931" max="8931" width="0" style="13" hidden="1" customWidth="1"/>
    <col min="8932" max="8932" width="10.33203125" style="13" customWidth="1"/>
    <col min="8933" max="9181" width="8.6640625" style="13"/>
    <col min="9182" max="9182" width="42" style="13" customWidth="1"/>
    <col min="9183" max="9183" width="6.44140625" style="13" customWidth="1"/>
    <col min="9184" max="9186" width="10.33203125" style="13" customWidth="1"/>
    <col min="9187" max="9187" width="0" style="13" hidden="1" customWidth="1"/>
    <col min="9188" max="9188" width="10.33203125" style="13" customWidth="1"/>
    <col min="9189" max="9437" width="8.6640625" style="13"/>
    <col min="9438" max="9438" width="42" style="13" customWidth="1"/>
    <col min="9439" max="9439" width="6.44140625" style="13" customWidth="1"/>
    <col min="9440" max="9442" width="10.33203125" style="13" customWidth="1"/>
    <col min="9443" max="9443" width="0" style="13" hidden="1" customWidth="1"/>
    <col min="9444" max="9444" width="10.33203125" style="13" customWidth="1"/>
    <col min="9445" max="9693" width="8.6640625" style="13"/>
    <col min="9694" max="9694" width="42" style="13" customWidth="1"/>
    <col min="9695" max="9695" width="6.44140625" style="13" customWidth="1"/>
    <col min="9696" max="9698" width="10.33203125" style="13" customWidth="1"/>
    <col min="9699" max="9699" width="0" style="13" hidden="1" customWidth="1"/>
    <col min="9700" max="9700" width="10.33203125" style="13" customWidth="1"/>
    <col min="9701" max="9949" width="8.6640625" style="13"/>
    <col min="9950" max="9950" width="42" style="13" customWidth="1"/>
    <col min="9951" max="9951" width="6.44140625" style="13" customWidth="1"/>
    <col min="9952" max="9954" width="10.33203125" style="13" customWidth="1"/>
    <col min="9955" max="9955" width="0" style="13" hidden="1" customWidth="1"/>
    <col min="9956" max="9956" width="10.33203125" style="13" customWidth="1"/>
    <col min="9957" max="10205" width="8.6640625" style="13"/>
    <col min="10206" max="10206" width="42" style="13" customWidth="1"/>
    <col min="10207" max="10207" width="6.44140625" style="13" customWidth="1"/>
    <col min="10208" max="10210" width="10.33203125" style="13" customWidth="1"/>
    <col min="10211" max="10211" width="0" style="13" hidden="1" customWidth="1"/>
    <col min="10212" max="10212" width="10.33203125" style="13" customWidth="1"/>
    <col min="10213" max="10461" width="8.6640625" style="13"/>
    <col min="10462" max="10462" width="42" style="13" customWidth="1"/>
    <col min="10463" max="10463" width="6.44140625" style="13" customWidth="1"/>
    <col min="10464" max="10466" width="10.33203125" style="13" customWidth="1"/>
    <col min="10467" max="10467" width="0" style="13" hidden="1" customWidth="1"/>
    <col min="10468" max="10468" width="10.33203125" style="13" customWidth="1"/>
    <col min="10469" max="10717" width="8.6640625" style="13"/>
    <col min="10718" max="10718" width="42" style="13" customWidth="1"/>
    <col min="10719" max="10719" width="6.44140625" style="13" customWidth="1"/>
    <col min="10720" max="10722" width="10.33203125" style="13" customWidth="1"/>
    <col min="10723" max="10723" width="0" style="13" hidden="1" customWidth="1"/>
    <col min="10724" max="10724" width="10.33203125" style="13" customWidth="1"/>
    <col min="10725" max="10973" width="8.6640625" style="13"/>
    <col min="10974" max="10974" width="42" style="13" customWidth="1"/>
    <col min="10975" max="10975" width="6.44140625" style="13" customWidth="1"/>
    <col min="10976" max="10978" width="10.33203125" style="13" customWidth="1"/>
    <col min="10979" max="10979" width="0" style="13" hidden="1" customWidth="1"/>
    <col min="10980" max="10980" width="10.33203125" style="13" customWidth="1"/>
    <col min="10981" max="11229" width="8.6640625" style="13"/>
    <col min="11230" max="11230" width="42" style="13" customWidth="1"/>
    <col min="11231" max="11231" width="6.44140625" style="13" customWidth="1"/>
    <col min="11232" max="11234" width="10.33203125" style="13" customWidth="1"/>
    <col min="11235" max="11235" width="0" style="13" hidden="1" customWidth="1"/>
    <col min="11236" max="11236" width="10.33203125" style="13" customWidth="1"/>
    <col min="11237" max="11485" width="8.6640625" style="13"/>
    <col min="11486" max="11486" width="42" style="13" customWidth="1"/>
    <col min="11487" max="11487" width="6.44140625" style="13" customWidth="1"/>
    <col min="11488" max="11490" width="10.33203125" style="13" customWidth="1"/>
    <col min="11491" max="11491" width="0" style="13" hidden="1" customWidth="1"/>
    <col min="11492" max="11492" width="10.33203125" style="13" customWidth="1"/>
    <col min="11493" max="11741" width="8.6640625" style="13"/>
    <col min="11742" max="11742" width="42" style="13" customWidth="1"/>
    <col min="11743" max="11743" width="6.44140625" style="13" customWidth="1"/>
    <col min="11744" max="11746" width="10.33203125" style="13" customWidth="1"/>
    <col min="11747" max="11747" width="0" style="13" hidden="1" customWidth="1"/>
    <col min="11748" max="11748" width="10.33203125" style="13" customWidth="1"/>
    <col min="11749" max="11997" width="8.6640625" style="13"/>
    <col min="11998" max="11998" width="42" style="13" customWidth="1"/>
    <col min="11999" max="11999" width="6.44140625" style="13" customWidth="1"/>
    <col min="12000" max="12002" width="10.33203125" style="13" customWidth="1"/>
    <col min="12003" max="12003" width="0" style="13" hidden="1" customWidth="1"/>
    <col min="12004" max="12004" width="10.33203125" style="13" customWidth="1"/>
    <col min="12005" max="12253" width="8.6640625" style="13"/>
    <col min="12254" max="12254" width="42" style="13" customWidth="1"/>
    <col min="12255" max="12255" width="6.44140625" style="13" customWidth="1"/>
    <col min="12256" max="12258" width="10.33203125" style="13" customWidth="1"/>
    <col min="12259" max="12259" width="0" style="13" hidden="1" customWidth="1"/>
    <col min="12260" max="12260" width="10.33203125" style="13" customWidth="1"/>
    <col min="12261" max="12509" width="8.6640625" style="13"/>
    <col min="12510" max="12510" width="42" style="13" customWidth="1"/>
    <col min="12511" max="12511" width="6.44140625" style="13" customWidth="1"/>
    <col min="12512" max="12514" width="10.33203125" style="13" customWidth="1"/>
    <col min="12515" max="12515" width="0" style="13" hidden="1" customWidth="1"/>
    <col min="12516" max="12516" width="10.33203125" style="13" customWidth="1"/>
    <col min="12517" max="12765" width="8.6640625" style="13"/>
    <col min="12766" max="12766" width="42" style="13" customWidth="1"/>
    <col min="12767" max="12767" width="6.44140625" style="13" customWidth="1"/>
    <col min="12768" max="12770" width="10.33203125" style="13" customWidth="1"/>
    <col min="12771" max="12771" width="0" style="13" hidden="1" customWidth="1"/>
    <col min="12772" max="12772" width="10.33203125" style="13" customWidth="1"/>
    <col min="12773" max="13021" width="8.6640625" style="13"/>
    <col min="13022" max="13022" width="42" style="13" customWidth="1"/>
    <col min="13023" max="13023" width="6.44140625" style="13" customWidth="1"/>
    <col min="13024" max="13026" width="10.33203125" style="13" customWidth="1"/>
    <col min="13027" max="13027" width="0" style="13" hidden="1" customWidth="1"/>
    <col min="13028" max="13028" width="10.33203125" style="13" customWidth="1"/>
    <col min="13029" max="13277" width="8.6640625" style="13"/>
    <col min="13278" max="13278" width="42" style="13" customWidth="1"/>
    <col min="13279" max="13279" width="6.44140625" style="13" customWidth="1"/>
    <col min="13280" max="13282" width="10.33203125" style="13" customWidth="1"/>
    <col min="13283" max="13283" width="0" style="13" hidden="1" customWidth="1"/>
    <col min="13284" max="13284" width="10.33203125" style="13" customWidth="1"/>
    <col min="13285" max="13533" width="8.6640625" style="13"/>
    <col min="13534" max="13534" width="42" style="13" customWidth="1"/>
    <col min="13535" max="13535" width="6.44140625" style="13" customWidth="1"/>
    <col min="13536" max="13538" width="10.33203125" style="13" customWidth="1"/>
    <col min="13539" max="13539" width="0" style="13" hidden="1" customWidth="1"/>
    <col min="13540" max="13540" width="10.33203125" style="13" customWidth="1"/>
    <col min="13541" max="13789" width="8.6640625" style="13"/>
    <col min="13790" max="13790" width="42" style="13" customWidth="1"/>
    <col min="13791" max="13791" width="6.44140625" style="13" customWidth="1"/>
    <col min="13792" max="13794" width="10.33203125" style="13" customWidth="1"/>
    <col min="13795" max="13795" width="0" style="13" hidden="1" customWidth="1"/>
    <col min="13796" max="13796" width="10.33203125" style="13" customWidth="1"/>
    <col min="13797" max="14045" width="8.6640625" style="13"/>
    <col min="14046" max="14046" width="42" style="13" customWidth="1"/>
    <col min="14047" max="14047" width="6.44140625" style="13" customWidth="1"/>
    <col min="14048" max="14050" width="10.33203125" style="13" customWidth="1"/>
    <col min="14051" max="14051" width="0" style="13" hidden="1" customWidth="1"/>
    <col min="14052" max="14052" width="10.33203125" style="13" customWidth="1"/>
    <col min="14053" max="14301" width="8.6640625" style="13"/>
    <col min="14302" max="14302" width="42" style="13" customWidth="1"/>
    <col min="14303" max="14303" width="6.44140625" style="13" customWidth="1"/>
    <col min="14304" max="14306" width="10.33203125" style="13" customWidth="1"/>
    <col min="14307" max="14307" width="0" style="13" hidden="1" customWidth="1"/>
    <col min="14308" max="14308" width="10.33203125" style="13" customWidth="1"/>
    <col min="14309" max="14557" width="8.6640625" style="13"/>
    <col min="14558" max="14558" width="42" style="13" customWidth="1"/>
    <col min="14559" max="14559" width="6.44140625" style="13" customWidth="1"/>
    <col min="14560" max="14562" width="10.33203125" style="13" customWidth="1"/>
    <col min="14563" max="14563" width="0" style="13" hidden="1" customWidth="1"/>
    <col min="14564" max="14564" width="10.33203125" style="13" customWidth="1"/>
    <col min="14565" max="14813" width="8.6640625" style="13"/>
    <col min="14814" max="14814" width="42" style="13" customWidth="1"/>
    <col min="14815" max="14815" width="6.44140625" style="13" customWidth="1"/>
    <col min="14816" max="14818" width="10.33203125" style="13" customWidth="1"/>
    <col min="14819" max="14819" width="0" style="13" hidden="1" customWidth="1"/>
    <col min="14820" max="14820" width="10.33203125" style="13" customWidth="1"/>
    <col min="14821" max="15069" width="8.6640625" style="13"/>
    <col min="15070" max="15070" width="42" style="13" customWidth="1"/>
    <col min="15071" max="15071" width="6.44140625" style="13" customWidth="1"/>
    <col min="15072" max="15074" width="10.33203125" style="13" customWidth="1"/>
    <col min="15075" max="15075" width="0" style="13" hidden="1" customWidth="1"/>
    <col min="15076" max="15076" width="10.33203125" style="13" customWidth="1"/>
    <col min="15077" max="15325" width="8.6640625" style="13"/>
    <col min="15326" max="15326" width="42" style="13" customWidth="1"/>
    <col min="15327" max="15327" width="6.44140625" style="13" customWidth="1"/>
    <col min="15328" max="15330" width="10.33203125" style="13" customWidth="1"/>
    <col min="15331" max="15331" width="0" style="13" hidden="1" customWidth="1"/>
    <col min="15332" max="15332" width="10.33203125" style="13" customWidth="1"/>
    <col min="15333" max="15581" width="8.6640625" style="13"/>
    <col min="15582" max="15582" width="42" style="13" customWidth="1"/>
    <col min="15583" max="15583" width="6.44140625" style="13" customWidth="1"/>
    <col min="15584" max="15586" width="10.33203125" style="13" customWidth="1"/>
    <col min="15587" max="15587" width="0" style="13" hidden="1" customWidth="1"/>
    <col min="15588" max="15588" width="10.33203125" style="13" customWidth="1"/>
    <col min="15589" max="15837" width="8.6640625" style="13"/>
    <col min="15838" max="15838" width="42" style="13" customWidth="1"/>
    <col min="15839" max="15839" width="6.44140625" style="13" customWidth="1"/>
    <col min="15840" max="15842" width="10.33203125" style="13" customWidth="1"/>
    <col min="15843" max="15843" width="0" style="13" hidden="1" customWidth="1"/>
    <col min="15844" max="15844" width="10.33203125" style="13" customWidth="1"/>
    <col min="15845" max="16093" width="8.6640625" style="13"/>
    <col min="16094" max="16094" width="42" style="13" customWidth="1"/>
    <col min="16095" max="16095" width="6.44140625" style="13" customWidth="1"/>
    <col min="16096" max="16098" width="10.33203125" style="13" customWidth="1"/>
    <col min="16099" max="16099" width="0" style="13" hidden="1" customWidth="1"/>
    <col min="16100" max="16100" width="10.33203125" style="13" customWidth="1"/>
    <col min="16101" max="16384" width="8.6640625" style="13"/>
  </cols>
  <sheetData>
    <row r="1" spans="1:26" ht="14.1" customHeight="1" x14ac:dyDescent="0.3">
      <c r="A1" s="79" t="s">
        <v>85</v>
      </c>
    </row>
    <row r="2" spans="1:26" ht="14.1" customHeight="1" x14ac:dyDescent="0.25">
      <c r="A2" s="2" t="s">
        <v>104</v>
      </c>
    </row>
    <row r="3" spans="1:26" ht="14.1" customHeight="1" x14ac:dyDescent="0.25">
      <c r="A3" s="2"/>
    </row>
    <row r="4" spans="1:26" ht="14.1" customHeight="1" x14ac:dyDescent="0.25">
      <c r="A4" s="60" t="s">
        <v>15</v>
      </c>
      <c r="B4" s="61" t="s">
        <v>0</v>
      </c>
      <c r="C4" s="61" t="s">
        <v>1</v>
      </c>
      <c r="D4" s="61" t="s">
        <v>2</v>
      </c>
      <c r="E4" s="61" t="s">
        <v>3</v>
      </c>
      <c r="F4" s="61" t="s">
        <v>5</v>
      </c>
      <c r="G4" s="61" t="s">
        <v>6</v>
      </c>
      <c r="H4" s="61" t="s">
        <v>7</v>
      </c>
      <c r="I4" s="61" t="s">
        <v>55</v>
      </c>
      <c r="J4" s="61" t="s">
        <v>57</v>
      </c>
      <c r="K4" s="61" t="s">
        <v>58</v>
      </c>
      <c r="L4" s="61" t="s">
        <v>59</v>
      </c>
      <c r="M4" s="61" t="s">
        <v>61</v>
      </c>
      <c r="N4" s="61" t="s">
        <v>64</v>
      </c>
      <c r="O4" s="61" t="s">
        <v>65</v>
      </c>
      <c r="P4" s="61" t="s">
        <v>66</v>
      </c>
      <c r="Q4" s="61" t="s">
        <v>67</v>
      </c>
      <c r="R4" s="61" t="s">
        <v>70</v>
      </c>
      <c r="S4" s="61" t="s">
        <v>71</v>
      </c>
      <c r="T4" s="61" t="s">
        <v>72</v>
      </c>
      <c r="U4" s="61" t="s">
        <v>79</v>
      </c>
      <c r="V4" s="61" t="s">
        <v>86</v>
      </c>
      <c r="W4" s="61" t="s">
        <v>88</v>
      </c>
      <c r="X4" s="61" t="s">
        <v>91</v>
      </c>
      <c r="Y4" s="61" t="s">
        <v>92</v>
      </c>
      <c r="Z4" s="61" t="s">
        <v>97</v>
      </c>
    </row>
    <row r="5" spans="1:26" ht="14.1" customHeight="1" x14ac:dyDescent="0.25">
      <c r="A5" s="28" t="s">
        <v>87</v>
      </c>
      <c r="B5" s="37">
        <v>249.5</v>
      </c>
      <c r="C5" s="37">
        <v>252.4</v>
      </c>
      <c r="D5" s="37">
        <v>237.8</v>
      </c>
      <c r="E5" s="74">
        <v>239.5</v>
      </c>
      <c r="F5" s="37">
        <v>238.8</v>
      </c>
      <c r="G5" s="37">
        <v>246.5</v>
      </c>
      <c r="H5" s="37">
        <v>255.4</v>
      </c>
      <c r="I5" s="74">
        <v>351.3</v>
      </c>
      <c r="J5" s="37">
        <v>400.59999999999997</v>
      </c>
      <c r="K5" s="37">
        <v>438.2</v>
      </c>
      <c r="L5" s="37">
        <v>481.20000000000005</v>
      </c>
      <c r="M5" s="74">
        <v>543.09999999999991</v>
      </c>
      <c r="N5" s="37">
        <v>589.6</v>
      </c>
      <c r="O5" s="37">
        <v>637.29999999999995</v>
      </c>
      <c r="P5" s="37">
        <v>815.9</v>
      </c>
      <c r="Q5" s="74">
        <v>1054.3000000000002</v>
      </c>
      <c r="R5" s="37">
        <v>1082</v>
      </c>
      <c r="S5" s="37">
        <v>1119.3999999999999</v>
      </c>
      <c r="T5" s="8">
        <v>1093.9000000000001</v>
      </c>
      <c r="U5" s="74">
        <v>1129.5</v>
      </c>
      <c r="V5" s="8">
        <v>1142.5999999999999</v>
      </c>
      <c r="W5" s="8">
        <v>1185.0999999999999</v>
      </c>
      <c r="X5" s="8">
        <v>1195.4000000000001</v>
      </c>
      <c r="Y5" s="74">
        <v>1308.3</v>
      </c>
      <c r="Z5" s="8">
        <v>1467.2</v>
      </c>
    </row>
    <row r="6" spans="1:26" ht="14.1" customHeight="1" x14ac:dyDescent="0.25">
      <c r="A6" s="28" t="s">
        <v>17</v>
      </c>
      <c r="B6" s="37">
        <f>109-10.7</f>
        <v>98.3</v>
      </c>
      <c r="C6" s="37">
        <v>100.7</v>
      </c>
      <c r="D6" s="37">
        <v>107.1</v>
      </c>
      <c r="E6" s="74">
        <v>110.2</v>
      </c>
      <c r="F6" s="37">
        <v>115.2</v>
      </c>
      <c r="G6" s="37">
        <v>134.4</v>
      </c>
      <c r="H6" s="37">
        <v>178</v>
      </c>
      <c r="I6" s="74">
        <v>175.2</v>
      </c>
      <c r="J6" s="37">
        <v>179.1</v>
      </c>
      <c r="K6" s="37">
        <v>191.6</v>
      </c>
      <c r="L6" s="37">
        <v>198.4</v>
      </c>
      <c r="M6" s="74">
        <v>212.5</v>
      </c>
      <c r="N6" s="37">
        <v>236.9</v>
      </c>
      <c r="O6" s="37">
        <v>253.2</v>
      </c>
      <c r="P6" s="37">
        <v>284</v>
      </c>
      <c r="Q6" s="74">
        <v>255.3</v>
      </c>
      <c r="R6" s="37">
        <v>263.10000000000002</v>
      </c>
      <c r="S6" s="37">
        <v>269.5</v>
      </c>
      <c r="T6" s="8">
        <v>279.60000000000002</v>
      </c>
      <c r="U6" s="74">
        <v>291.8</v>
      </c>
      <c r="V6" s="8">
        <v>308.60000000000002</v>
      </c>
      <c r="W6" s="8">
        <v>371.1</v>
      </c>
      <c r="X6" s="8">
        <v>421.7</v>
      </c>
      <c r="Y6" s="74">
        <v>506.2</v>
      </c>
      <c r="Z6" s="8">
        <v>529</v>
      </c>
    </row>
    <row r="7" spans="1:26" ht="14.1" customHeight="1" x14ac:dyDescent="0.25">
      <c r="A7" s="28" t="s">
        <v>16</v>
      </c>
      <c r="B7" s="37">
        <v>262.60000000000002</v>
      </c>
      <c r="C7" s="37">
        <v>234.6</v>
      </c>
      <c r="D7" s="37">
        <v>225</v>
      </c>
      <c r="E7" s="74">
        <v>226.5</v>
      </c>
      <c r="F7" s="37">
        <v>218</v>
      </c>
      <c r="G7" s="37">
        <v>211.1</v>
      </c>
      <c r="H7" s="37">
        <v>205</v>
      </c>
      <c r="I7" s="74">
        <v>197.2</v>
      </c>
      <c r="J7" s="37">
        <v>183.7</v>
      </c>
      <c r="K7" s="37">
        <v>219.2</v>
      </c>
      <c r="L7" s="37">
        <v>212.8</v>
      </c>
      <c r="M7" s="74">
        <v>209.9</v>
      </c>
      <c r="N7" s="37">
        <v>204.9</v>
      </c>
      <c r="O7" s="37">
        <v>200.8</v>
      </c>
      <c r="P7" s="37">
        <v>133.4</v>
      </c>
      <c r="Q7" s="74">
        <v>108.9</v>
      </c>
      <c r="R7" s="37">
        <v>101.2</v>
      </c>
      <c r="S7" s="37">
        <v>95.8</v>
      </c>
      <c r="T7" s="8">
        <v>111.3</v>
      </c>
      <c r="U7" s="74">
        <v>101.5</v>
      </c>
      <c r="V7" s="8">
        <v>88.7</v>
      </c>
      <c r="W7" s="8">
        <v>81.900000000000006</v>
      </c>
      <c r="X7" s="8">
        <v>182.3</v>
      </c>
      <c r="Y7" s="74">
        <v>199.7</v>
      </c>
      <c r="Z7" s="8">
        <v>196.8</v>
      </c>
    </row>
    <row r="8" spans="1:26" ht="14.1" customHeight="1" x14ac:dyDescent="0.25">
      <c r="A8" s="28" t="s">
        <v>19</v>
      </c>
      <c r="B8" s="8">
        <v>0</v>
      </c>
      <c r="C8" s="8">
        <v>0</v>
      </c>
      <c r="D8" s="8">
        <v>0</v>
      </c>
      <c r="E8" s="74">
        <v>0</v>
      </c>
      <c r="F8" s="8">
        <v>2.9</v>
      </c>
      <c r="G8" s="8">
        <v>1.5</v>
      </c>
      <c r="H8" s="8">
        <v>2</v>
      </c>
      <c r="I8" s="74">
        <v>2.1</v>
      </c>
      <c r="J8" s="8">
        <v>5.0999999999999996</v>
      </c>
      <c r="K8" s="8">
        <v>7.3</v>
      </c>
      <c r="L8" s="8">
        <v>9.5</v>
      </c>
      <c r="M8" s="74">
        <v>9.1999999999999993</v>
      </c>
      <c r="N8" s="8">
        <v>9.3000000000000007</v>
      </c>
      <c r="O8" s="8">
        <v>0.2</v>
      </c>
      <c r="P8" s="8">
        <v>1.1000000000000001</v>
      </c>
      <c r="Q8" s="74">
        <v>0.1</v>
      </c>
      <c r="R8" s="8">
        <v>0.4</v>
      </c>
      <c r="S8" s="8">
        <v>0.6</v>
      </c>
      <c r="T8" s="8">
        <v>0</v>
      </c>
      <c r="U8" s="74">
        <v>0.3</v>
      </c>
      <c r="V8" s="8">
        <v>0</v>
      </c>
      <c r="W8" s="8">
        <v>1.3</v>
      </c>
      <c r="X8" s="8">
        <v>0</v>
      </c>
      <c r="Y8" s="74">
        <v>1.2</v>
      </c>
      <c r="Z8" s="8">
        <v>1.4</v>
      </c>
    </row>
    <row r="9" spans="1:26" ht="14.1" customHeight="1" x14ac:dyDescent="0.25">
      <c r="A9" s="28" t="s">
        <v>69</v>
      </c>
      <c r="B9" s="8"/>
      <c r="C9" s="8"/>
      <c r="D9" s="8"/>
      <c r="E9" s="74"/>
      <c r="F9" s="8">
        <v>0</v>
      </c>
      <c r="G9" s="8">
        <v>0</v>
      </c>
      <c r="H9" s="8">
        <v>0</v>
      </c>
      <c r="I9" s="74">
        <v>0</v>
      </c>
      <c r="J9" s="8">
        <v>0</v>
      </c>
      <c r="K9" s="8">
        <v>0</v>
      </c>
      <c r="L9" s="8">
        <v>0</v>
      </c>
      <c r="M9" s="74">
        <v>0</v>
      </c>
      <c r="N9" s="8">
        <v>0</v>
      </c>
      <c r="O9" s="8">
        <v>0</v>
      </c>
      <c r="P9" s="8">
        <v>0</v>
      </c>
      <c r="Q9" s="74">
        <v>7.6</v>
      </c>
      <c r="R9" s="8">
        <v>11.7</v>
      </c>
      <c r="S9" s="8">
        <v>15</v>
      </c>
      <c r="T9" s="8">
        <v>12.4</v>
      </c>
      <c r="U9" s="74">
        <v>19</v>
      </c>
      <c r="V9" s="8">
        <v>18.899999999999999</v>
      </c>
      <c r="W9" s="8">
        <v>19.7</v>
      </c>
      <c r="X9" s="8">
        <v>20</v>
      </c>
      <c r="Y9" s="74">
        <v>31.2</v>
      </c>
      <c r="Z9" s="8">
        <v>27.9</v>
      </c>
    </row>
    <row r="10" spans="1:26" ht="14.1" customHeight="1" x14ac:dyDescent="0.25">
      <c r="A10" s="28" t="s">
        <v>18</v>
      </c>
      <c r="B10" s="8">
        <v>6.2</v>
      </c>
      <c r="C10" s="8">
        <v>6.8</v>
      </c>
      <c r="D10" s="8">
        <v>7.5</v>
      </c>
      <c r="E10" s="74">
        <v>3.3</v>
      </c>
      <c r="F10" s="8">
        <v>2.2999999999999998</v>
      </c>
      <c r="G10" s="8">
        <v>2.2999999999999998</v>
      </c>
      <c r="H10" s="8">
        <v>2</v>
      </c>
      <c r="I10" s="74">
        <v>1.6</v>
      </c>
      <c r="J10" s="8">
        <v>1.1000000000000001</v>
      </c>
      <c r="K10" s="8">
        <v>0.8</v>
      </c>
      <c r="L10" s="8">
        <v>0.6</v>
      </c>
      <c r="M10" s="74">
        <v>0.6</v>
      </c>
      <c r="N10" s="8">
        <v>0.6</v>
      </c>
      <c r="O10" s="8">
        <v>0.6</v>
      </c>
      <c r="P10" s="8">
        <v>35.9</v>
      </c>
      <c r="Q10" s="74">
        <f>41.7-7.6+0.1</f>
        <v>34.200000000000003</v>
      </c>
      <c r="R10" s="8">
        <v>34.200000000000003</v>
      </c>
      <c r="S10" s="8">
        <v>70.8</v>
      </c>
      <c r="T10" s="8">
        <f>65.6+13.3</f>
        <v>78.899999999999991</v>
      </c>
      <c r="U10" s="74">
        <v>78.099999999999994</v>
      </c>
      <c r="V10" s="8">
        <v>72.5</v>
      </c>
      <c r="W10" s="8">
        <v>74.400000000000006</v>
      </c>
      <c r="X10" s="8">
        <v>74.8</v>
      </c>
      <c r="Y10" s="74">
        <v>109.1</v>
      </c>
      <c r="Z10" s="8">
        <v>111</v>
      </c>
    </row>
    <row r="11" spans="1:26" ht="14.1" customHeight="1" x14ac:dyDescent="0.25">
      <c r="A11" s="29" t="s">
        <v>20</v>
      </c>
      <c r="B11" s="38">
        <f>SUM(B5:B9)</f>
        <v>610.40000000000009</v>
      </c>
      <c r="C11" s="38">
        <v>594.5</v>
      </c>
      <c r="D11" s="38">
        <f>SUM(D5:D9)</f>
        <v>569.9</v>
      </c>
      <c r="E11" s="76">
        <f>SUM(E5:E9)</f>
        <v>576.20000000000005</v>
      </c>
      <c r="F11" s="38">
        <f t="shared" ref="F11:N11" si="0">SUM(F5:F10)</f>
        <v>577.19999999999993</v>
      </c>
      <c r="G11" s="38">
        <f t="shared" si="0"/>
        <v>595.79999999999995</v>
      </c>
      <c r="H11" s="38">
        <f t="shared" si="0"/>
        <v>642.4</v>
      </c>
      <c r="I11" s="76">
        <f t="shared" si="0"/>
        <v>727.40000000000009</v>
      </c>
      <c r="J11" s="38">
        <f t="shared" si="0"/>
        <v>769.59999999999991</v>
      </c>
      <c r="K11" s="38">
        <f t="shared" si="0"/>
        <v>857.09999999999991</v>
      </c>
      <c r="L11" s="38">
        <f t="shared" si="0"/>
        <v>902.50000000000011</v>
      </c>
      <c r="M11" s="76">
        <f t="shared" si="0"/>
        <v>975.3</v>
      </c>
      <c r="N11" s="38">
        <f t="shared" si="0"/>
        <v>1041.3</v>
      </c>
      <c r="O11" s="38">
        <v>1092.0999999999999</v>
      </c>
      <c r="P11" s="38">
        <v>1270.3</v>
      </c>
      <c r="Q11" s="76">
        <f>SUM(Q5:Q10)</f>
        <v>1460.4</v>
      </c>
      <c r="R11" s="38">
        <f>SUM(R5:R10)</f>
        <v>1492.6000000000001</v>
      </c>
      <c r="S11" s="38">
        <v>1571.1</v>
      </c>
      <c r="T11" s="67">
        <f t="shared" ref="T11:Z11" si="1">SUM(T5:T10)</f>
        <v>1576.1000000000001</v>
      </c>
      <c r="U11" s="76">
        <f t="shared" si="1"/>
        <v>1620.1999999999998</v>
      </c>
      <c r="V11" s="67">
        <f t="shared" si="1"/>
        <v>1631.3</v>
      </c>
      <c r="W11" s="67">
        <f t="shared" si="1"/>
        <v>1733.5</v>
      </c>
      <c r="X11" s="67">
        <f t="shared" si="1"/>
        <v>1894.2</v>
      </c>
      <c r="Y11" s="76">
        <f t="shared" si="1"/>
        <v>2155.7000000000003</v>
      </c>
      <c r="Z11" s="67">
        <f t="shared" si="1"/>
        <v>2333.3000000000002</v>
      </c>
    </row>
    <row r="12" spans="1:26" ht="14.1" customHeight="1" x14ac:dyDescent="0.25">
      <c r="A12" s="28" t="s">
        <v>21</v>
      </c>
      <c r="B12" s="37">
        <v>9.6</v>
      </c>
      <c r="C12" s="37">
        <v>8.6</v>
      </c>
      <c r="D12" s="37">
        <v>18.3</v>
      </c>
      <c r="E12" s="77">
        <v>8.4</v>
      </c>
      <c r="F12" s="37">
        <v>14</v>
      </c>
      <c r="G12" s="37">
        <v>13.6</v>
      </c>
      <c r="H12" s="37">
        <v>27</v>
      </c>
      <c r="I12" s="77">
        <v>7.4</v>
      </c>
      <c r="J12" s="37">
        <v>5.7</v>
      </c>
      <c r="K12" s="37">
        <v>25.1</v>
      </c>
      <c r="L12" s="37">
        <v>35.5</v>
      </c>
      <c r="M12" s="77">
        <v>11.5</v>
      </c>
      <c r="N12" s="37">
        <v>7.2</v>
      </c>
      <c r="O12" s="37">
        <v>8.1</v>
      </c>
      <c r="P12" s="37">
        <v>40.799999999999997</v>
      </c>
      <c r="Q12" s="77">
        <v>33.5</v>
      </c>
      <c r="R12" s="37">
        <v>58</v>
      </c>
      <c r="S12" s="37">
        <v>58.3</v>
      </c>
      <c r="T12" s="37">
        <v>55.3</v>
      </c>
      <c r="U12" s="77">
        <v>56.7</v>
      </c>
      <c r="V12" s="37">
        <v>56.3</v>
      </c>
      <c r="W12" s="37">
        <v>60.4</v>
      </c>
      <c r="X12" s="37">
        <v>77.2</v>
      </c>
      <c r="Y12" s="77">
        <v>72.400000000000006</v>
      </c>
      <c r="Z12" s="37">
        <v>112.5</v>
      </c>
    </row>
    <row r="13" spans="1:26" ht="14.1" customHeight="1" x14ac:dyDescent="0.25">
      <c r="A13" s="28" t="s">
        <v>22</v>
      </c>
      <c r="B13" s="37">
        <f>218.9-177.9</f>
        <v>41</v>
      </c>
      <c r="C13" s="37">
        <v>45.6</v>
      </c>
      <c r="D13" s="37">
        <v>16.3</v>
      </c>
      <c r="E13" s="77">
        <v>54.6</v>
      </c>
      <c r="F13" s="37">
        <v>59.5</v>
      </c>
      <c r="G13" s="37">
        <v>64.099999999999994</v>
      </c>
      <c r="H13" s="37">
        <v>38.6</v>
      </c>
      <c r="I13" s="77">
        <v>71.8</v>
      </c>
      <c r="J13" s="37">
        <v>145.30000000000001</v>
      </c>
      <c r="K13" s="37">
        <v>33.700000000000003</v>
      </c>
      <c r="L13" s="37">
        <v>30.1</v>
      </c>
      <c r="M13" s="77">
        <v>18.100000000000001</v>
      </c>
      <c r="N13" s="37">
        <v>34.4</v>
      </c>
      <c r="O13" s="37">
        <v>34.9</v>
      </c>
      <c r="P13" s="37">
        <v>73.400000000000006</v>
      </c>
      <c r="Q13" s="77">
        <v>51.7</v>
      </c>
      <c r="R13" s="37">
        <v>113.9</v>
      </c>
      <c r="S13" s="37">
        <v>105.1</v>
      </c>
      <c r="T13" s="37">
        <v>73.3</v>
      </c>
      <c r="U13" s="77">
        <v>68.599999999999994</v>
      </c>
      <c r="V13" s="37">
        <v>76.5</v>
      </c>
      <c r="W13" s="37">
        <v>134.30000000000001</v>
      </c>
      <c r="X13" s="37">
        <v>194.4</v>
      </c>
      <c r="Y13" s="77">
        <v>101.7</v>
      </c>
      <c r="Z13" s="37">
        <v>174.3</v>
      </c>
    </row>
    <row r="14" spans="1:26" ht="14.1" customHeight="1" x14ac:dyDescent="0.25">
      <c r="A14" s="28" t="s">
        <v>19</v>
      </c>
      <c r="B14" s="37">
        <v>0</v>
      </c>
      <c r="C14" s="37">
        <v>0</v>
      </c>
      <c r="D14" s="37">
        <v>0</v>
      </c>
      <c r="E14" s="77">
        <v>0</v>
      </c>
      <c r="F14" s="37">
        <v>0</v>
      </c>
      <c r="G14" s="37">
        <v>0</v>
      </c>
      <c r="H14" s="37">
        <v>0</v>
      </c>
      <c r="I14" s="77">
        <v>0</v>
      </c>
      <c r="J14" s="37">
        <v>0</v>
      </c>
      <c r="K14" s="37">
        <v>0</v>
      </c>
      <c r="L14" s="37">
        <v>0</v>
      </c>
      <c r="M14" s="77">
        <v>0</v>
      </c>
      <c r="N14" s="37">
        <v>0</v>
      </c>
      <c r="O14" s="37">
        <v>1.1000000000000001</v>
      </c>
      <c r="P14" s="37">
        <v>0</v>
      </c>
      <c r="Q14" s="77">
        <v>0.6</v>
      </c>
      <c r="R14" s="37">
        <v>0</v>
      </c>
      <c r="S14" s="37">
        <v>0</v>
      </c>
      <c r="T14" s="37">
        <v>5</v>
      </c>
      <c r="U14" s="77">
        <v>2.9</v>
      </c>
      <c r="V14" s="37">
        <v>1.2</v>
      </c>
      <c r="W14" s="37">
        <v>3.1</v>
      </c>
      <c r="X14" s="37">
        <v>2.2000000000000002</v>
      </c>
      <c r="Y14" s="77">
        <v>4.0999999999999996</v>
      </c>
      <c r="Z14" s="37">
        <v>0</v>
      </c>
    </row>
    <row r="15" spans="1:26" ht="14.1" customHeight="1" x14ac:dyDescent="0.25">
      <c r="A15" s="28" t="s">
        <v>23</v>
      </c>
      <c r="B15" s="37">
        <v>168.3</v>
      </c>
      <c r="C15" s="37">
        <v>127.6</v>
      </c>
      <c r="D15" s="37">
        <v>145.30000000000001</v>
      </c>
      <c r="E15" s="77">
        <v>120.6</v>
      </c>
      <c r="F15" s="37">
        <v>184.8</v>
      </c>
      <c r="G15" s="37">
        <v>216.5</v>
      </c>
      <c r="H15" s="37">
        <v>170.6</v>
      </c>
      <c r="I15" s="77">
        <v>150.9</v>
      </c>
      <c r="J15" s="37">
        <v>110.8</v>
      </c>
      <c r="K15" s="37">
        <v>123.3</v>
      </c>
      <c r="L15" s="37">
        <v>186.5</v>
      </c>
      <c r="M15" s="77">
        <v>210.8</v>
      </c>
      <c r="N15" s="37">
        <v>166.4</v>
      </c>
      <c r="O15" s="37">
        <v>233.5</v>
      </c>
      <c r="P15" s="37">
        <v>197.7</v>
      </c>
      <c r="Q15" s="77">
        <v>194.2</v>
      </c>
      <c r="R15" s="37">
        <v>150.1</v>
      </c>
      <c r="S15" s="37">
        <v>244.2</v>
      </c>
      <c r="T15" s="37">
        <v>209.8</v>
      </c>
      <c r="U15" s="77">
        <v>221.8</v>
      </c>
      <c r="V15" s="37">
        <v>286.89999999999998</v>
      </c>
      <c r="W15" s="37">
        <v>192.9</v>
      </c>
      <c r="X15" s="37">
        <v>259.3</v>
      </c>
      <c r="Y15" s="77">
        <v>150.5</v>
      </c>
      <c r="Z15" s="37">
        <v>160.5</v>
      </c>
    </row>
    <row r="16" spans="1:26" ht="14.1" customHeight="1" x14ac:dyDescent="0.25">
      <c r="A16" s="29" t="s">
        <v>24</v>
      </c>
      <c r="B16" s="38">
        <f>SUM(B12:B15)</f>
        <v>218.9</v>
      </c>
      <c r="C16" s="38">
        <v>181.8</v>
      </c>
      <c r="D16" s="38">
        <f t="shared" ref="D16:I16" si="2">SUM(D12:D15)</f>
        <v>179.9</v>
      </c>
      <c r="E16" s="76">
        <f t="shared" si="2"/>
        <v>183.6</v>
      </c>
      <c r="F16" s="38">
        <f t="shared" si="2"/>
        <v>258.3</v>
      </c>
      <c r="G16" s="38">
        <f t="shared" si="2"/>
        <v>294.2</v>
      </c>
      <c r="H16" s="38">
        <f t="shared" si="2"/>
        <v>236.2</v>
      </c>
      <c r="I16" s="76">
        <f t="shared" si="2"/>
        <v>230.10000000000002</v>
      </c>
      <c r="J16" s="38">
        <v>261.8</v>
      </c>
      <c r="K16" s="38">
        <v>182.1</v>
      </c>
      <c r="L16" s="38">
        <f>SUM(L12:L15)</f>
        <v>252.1</v>
      </c>
      <c r="M16" s="76">
        <f>SUM(M12:M15)</f>
        <v>240.4</v>
      </c>
      <c r="N16" s="38">
        <f>SUM(N12:N15)</f>
        <v>208</v>
      </c>
      <c r="O16" s="38">
        <v>277.60000000000002</v>
      </c>
      <c r="P16" s="38">
        <v>311.89999999999998</v>
      </c>
      <c r="Q16" s="76">
        <f>SUM(Q12:Q15)</f>
        <v>280</v>
      </c>
      <c r="R16" s="38">
        <f>SUM(R12:R15)</f>
        <v>322</v>
      </c>
      <c r="S16" s="38">
        <v>407.59999999999997</v>
      </c>
      <c r="T16" s="67">
        <f t="shared" ref="T16:Z16" si="3">SUM(T12:T15)</f>
        <v>343.4</v>
      </c>
      <c r="U16" s="76">
        <f t="shared" si="3"/>
        <v>350</v>
      </c>
      <c r="V16" s="67">
        <f t="shared" si="3"/>
        <v>420.9</v>
      </c>
      <c r="W16" s="67">
        <f t="shared" si="3"/>
        <v>390.70000000000005</v>
      </c>
      <c r="X16" s="67">
        <f t="shared" si="3"/>
        <v>533.1</v>
      </c>
      <c r="Y16" s="76">
        <f t="shared" si="3"/>
        <v>328.70000000000005</v>
      </c>
      <c r="Z16" s="67">
        <f t="shared" si="3"/>
        <v>447.3</v>
      </c>
    </row>
    <row r="17" spans="1:26" ht="14.1" customHeight="1" x14ac:dyDescent="0.25">
      <c r="A17" s="29" t="s">
        <v>25</v>
      </c>
      <c r="B17" s="38">
        <f>B16+B11</f>
        <v>829.30000000000007</v>
      </c>
      <c r="C17" s="38">
        <v>776.3</v>
      </c>
      <c r="D17" s="38">
        <f t="shared" ref="D17:N17" si="4">D16+D11</f>
        <v>749.8</v>
      </c>
      <c r="E17" s="76">
        <f t="shared" si="4"/>
        <v>759.80000000000007</v>
      </c>
      <c r="F17" s="38">
        <f t="shared" si="4"/>
        <v>835.5</v>
      </c>
      <c r="G17" s="38">
        <f t="shared" si="4"/>
        <v>890</v>
      </c>
      <c r="H17" s="38">
        <f t="shared" si="4"/>
        <v>878.59999999999991</v>
      </c>
      <c r="I17" s="76">
        <f t="shared" si="4"/>
        <v>957.50000000000011</v>
      </c>
      <c r="J17" s="38">
        <f t="shared" si="4"/>
        <v>1031.3999999999999</v>
      </c>
      <c r="K17" s="38">
        <f t="shared" si="4"/>
        <v>1039.1999999999998</v>
      </c>
      <c r="L17" s="38">
        <f t="shared" si="4"/>
        <v>1154.6000000000001</v>
      </c>
      <c r="M17" s="76">
        <f t="shared" si="4"/>
        <v>1215.7</v>
      </c>
      <c r="N17" s="38">
        <f t="shared" si="4"/>
        <v>1249.3</v>
      </c>
      <c r="O17" s="38">
        <v>1369.6999999999998</v>
      </c>
      <c r="P17" s="38">
        <v>1582.1999999999998</v>
      </c>
      <c r="Q17" s="76">
        <f>Q16+Q11</f>
        <v>1740.4</v>
      </c>
      <c r="R17" s="38">
        <f>R16+R11</f>
        <v>1814.6000000000001</v>
      </c>
      <c r="S17" s="38">
        <v>1978.6999999999998</v>
      </c>
      <c r="T17" s="67">
        <f t="shared" ref="T17:Z17" si="5">T16+T11</f>
        <v>1919.5</v>
      </c>
      <c r="U17" s="76">
        <f t="shared" si="5"/>
        <v>1970.1999999999998</v>
      </c>
      <c r="V17" s="67">
        <f t="shared" si="5"/>
        <v>2052.1999999999998</v>
      </c>
      <c r="W17" s="67">
        <f t="shared" si="5"/>
        <v>2124.1999999999998</v>
      </c>
      <c r="X17" s="67">
        <f t="shared" si="5"/>
        <v>2427.3000000000002</v>
      </c>
      <c r="Y17" s="76">
        <f t="shared" si="5"/>
        <v>2484.4000000000005</v>
      </c>
      <c r="Z17" s="67">
        <f t="shared" si="5"/>
        <v>2780.6000000000004</v>
      </c>
    </row>
    <row r="18" spans="1:26" ht="14.1" customHeight="1" x14ac:dyDescent="0.25">
      <c r="A18" s="28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68"/>
      <c r="U18" s="31"/>
      <c r="V18" s="68"/>
      <c r="W18" s="68"/>
      <c r="X18" s="68"/>
      <c r="Y18" s="31"/>
      <c r="Z18" s="68"/>
    </row>
    <row r="19" spans="1:26" ht="14.1" customHeight="1" x14ac:dyDescent="0.25">
      <c r="A19" s="60" t="s">
        <v>26</v>
      </c>
      <c r="B19" s="61" t="str">
        <f>+B4</f>
        <v>Q1 2020</v>
      </c>
      <c r="C19" s="61" t="s">
        <v>1</v>
      </c>
      <c r="D19" s="61" t="str">
        <f t="shared" ref="D19:I19" si="6">+D4</f>
        <v>Q3 2020</v>
      </c>
      <c r="E19" s="61" t="str">
        <f t="shared" si="6"/>
        <v>Q4 2020</v>
      </c>
      <c r="F19" s="61" t="str">
        <f t="shared" si="6"/>
        <v>Q1 2021</v>
      </c>
      <c r="G19" s="61" t="str">
        <f t="shared" si="6"/>
        <v>Q2 2021</v>
      </c>
      <c r="H19" s="61" t="str">
        <f t="shared" si="6"/>
        <v>Q3 2021</v>
      </c>
      <c r="I19" s="61" t="str">
        <f t="shared" si="6"/>
        <v>Q4 2021</v>
      </c>
      <c r="J19" s="61" t="s">
        <v>57</v>
      </c>
      <c r="K19" s="61" t="s">
        <v>58</v>
      </c>
      <c r="L19" s="61" t="str">
        <f>+L4</f>
        <v>Q3 2022</v>
      </c>
      <c r="M19" s="61" t="str">
        <f>+M4</f>
        <v>Q4 2022</v>
      </c>
      <c r="N19" s="61" t="str">
        <f>+N4</f>
        <v>Q1 2023</v>
      </c>
      <c r="O19" s="61" t="s">
        <v>65</v>
      </c>
      <c r="P19" s="61" t="s">
        <v>66</v>
      </c>
      <c r="Q19" s="61" t="str">
        <f>+Q4</f>
        <v>Q4 2023</v>
      </c>
      <c r="R19" s="61" t="str">
        <f>+R4</f>
        <v>Q1 2024</v>
      </c>
      <c r="S19" s="61" t="s">
        <v>71</v>
      </c>
      <c r="T19" s="61" t="str">
        <f>+T4</f>
        <v>Q3 2024</v>
      </c>
      <c r="U19" s="61" t="s">
        <v>79</v>
      </c>
      <c r="V19" s="61" t="s">
        <v>86</v>
      </c>
      <c r="W19" s="61" t="s">
        <v>88</v>
      </c>
      <c r="X19" s="61" t="s">
        <v>91</v>
      </c>
      <c r="Y19" s="61" t="s">
        <v>92</v>
      </c>
      <c r="Z19" s="61" t="s">
        <v>97</v>
      </c>
    </row>
    <row r="20" spans="1:26" ht="14.1" customHeight="1" x14ac:dyDescent="0.25">
      <c r="A20" s="28" t="s">
        <v>27</v>
      </c>
      <c r="B20" s="37">
        <f>471.6-10.7</f>
        <v>460.90000000000003</v>
      </c>
      <c r="C20" s="37">
        <v>455.3</v>
      </c>
      <c r="D20" s="37">
        <v>448.4</v>
      </c>
      <c r="E20" s="77">
        <v>443.2</v>
      </c>
      <c r="F20" s="37">
        <v>524.79999999999995</v>
      </c>
      <c r="G20" s="37">
        <v>540.29999999999995</v>
      </c>
      <c r="H20" s="37">
        <v>530.20000000000005</v>
      </c>
      <c r="I20" s="77">
        <v>569.20000000000005</v>
      </c>
      <c r="J20" s="37">
        <v>605.1</v>
      </c>
      <c r="K20" s="37">
        <v>588.9</v>
      </c>
      <c r="L20" s="37">
        <v>623</v>
      </c>
      <c r="M20" s="77">
        <v>615.29999999999995</v>
      </c>
      <c r="N20" s="37">
        <v>610.6</v>
      </c>
      <c r="O20" s="37">
        <v>616.20000000000005</v>
      </c>
      <c r="P20" s="37">
        <v>617.1</v>
      </c>
      <c r="Q20" s="77">
        <v>697.6</v>
      </c>
      <c r="R20" s="37">
        <v>744.9</v>
      </c>
      <c r="S20" s="37">
        <v>759.8</v>
      </c>
      <c r="T20" s="37">
        <v>805.4</v>
      </c>
      <c r="U20" s="77">
        <v>861.6</v>
      </c>
      <c r="V20" s="37">
        <v>940.3</v>
      </c>
      <c r="W20" s="37">
        <v>965.9</v>
      </c>
      <c r="X20" s="37">
        <v>987.8</v>
      </c>
      <c r="Y20" s="77">
        <v>1000.9789345600001</v>
      </c>
      <c r="Z20" s="37">
        <v>1028.9000000000001</v>
      </c>
    </row>
    <row r="21" spans="1:26" ht="14.1" customHeight="1" x14ac:dyDescent="0.25">
      <c r="A21" s="28" t="s">
        <v>28</v>
      </c>
      <c r="B21" s="8">
        <v>0</v>
      </c>
      <c r="C21" s="8">
        <v>0</v>
      </c>
      <c r="D21" s="8">
        <v>0</v>
      </c>
      <c r="E21" s="74">
        <v>0</v>
      </c>
      <c r="F21" s="8">
        <v>0</v>
      </c>
      <c r="G21" s="8">
        <v>0</v>
      </c>
      <c r="H21" s="8">
        <v>0</v>
      </c>
      <c r="I21" s="74">
        <v>0</v>
      </c>
      <c r="J21" s="8">
        <v>0</v>
      </c>
      <c r="K21" s="8">
        <v>0</v>
      </c>
      <c r="L21" s="8">
        <v>0</v>
      </c>
      <c r="M21" s="74">
        <v>0</v>
      </c>
      <c r="N21" s="8">
        <v>0</v>
      </c>
      <c r="O21" s="8">
        <v>0</v>
      </c>
      <c r="P21" s="8">
        <v>0</v>
      </c>
      <c r="Q21" s="74">
        <v>0</v>
      </c>
      <c r="R21" s="8">
        <v>0</v>
      </c>
      <c r="S21" s="8">
        <v>0</v>
      </c>
      <c r="T21" s="8">
        <v>0</v>
      </c>
      <c r="U21" s="74"/>
      <c r="V21" s="8"/>
      <c r="W21" s="8"/>
      <c r="X21" s="8"/>
      <c r="Y21" s="74"/>
      <c r="Z21" s="8"/>
    </row>
    <row r="22" spans="1:26" ht="14.1" customHeight="1" x14ac:dyDescent="0.25">
      <c r="A22" s="29" t="s">
        <v>29</v>
      </c>
      <c r="B22" s="38">
        <f>SUM(B20:B21)</f>
        <v>460.90000000000003</v>
      </c>
      <c r="C22" s="38">
        <v>455.3</v>
      </c>
      <c r="D22" s="38">
        <f t="shared" ref="D22:I22" si="7">SUM(D20:D21)</f>
        <v>448.4</v>
      </c>
      <c r="E22" s="76">
        <f t="shared" si="7"/>
        <v>443.2</v>
      </c>
      <c r="F22" s="38">
        <f t="shared" si="7"/>
        <v>524.79999999999995</v>
      </c>
      <c r="G22" s="38">
        <f t="shared" si="7"/>
        <v>540.29999999999995</v>
      </c>
      <c r="H22" s="38">
        <f t="shared" si="7"/>
        <v>530.20000000000005</v>
      </c>
      <c r="I22" s="76">
        <f t="shared" si="7"/>
        <v>569.20000000000005</v>
      </c>
      <c r="J22" s="38">
        <v>605.1</v>
      </c>
      <c r="K22" s="38">
        <v>588.9</v>
      </c>
      <c r="L22" s="38">
        <f>SUM(L20:L21)</f>
        <v>623</v>
      </c>
      <c r="M22" s="76">
        <f>SUM(M20:M21)</f>
        <v>615.29999999999995</v>
      </c>
      <c r="N22" s="38">
        <f>SUM(N20:N21)</f>
        <v>610.6</v>
      </c>
      <c r="O22" s="38">
        <v>616.20000000000005</v>
      </c>
      <c r="P22" s="38">
        <v>617.1</v>
      </c>
      <c r="Q22" s="76">
        <f>+Q20+Q21</f>
        <v>697.6</v>
      </c>
      <c r="R22" s="38">
        <f>SUM(R20:R21)</f>
        <v>744.9</v>
      </c>
      <c r="S22" s="38">
        <v>759.8</v>
      </c>
      <c r="T22" s="67">
        <f>SUM(T20:T21)</f>
        <v>805.4</v>
      </c>
      <c r="U22" s="76">
        <v>861.6</v>
      </c>
      <c r="V22" s="67">
        <f>SUM(V20)</f>
        <v>940.3</v>
      </c>
      <c r="W22" s="67">
        <f>SUM(W20)</f>
        <v>965.9</v>
      </c>
      <c r="X22" s="67">
        <f>SUM(X20)</f>
        <v>987.8</v>
      </c>
      <c r="Y22" s="76">
        <f>SUM(Y20)</f>
        <v>1000.9789345600001</v>
      </c>
      <c r="Z22" s="67">
        <f>SUM(Z20)</f>
        <v>1028.9000000000001</v>
      </c>
    </row>
    <row r="23" spans="1:26" ht="14.1" customHeight="1" x14ac:dyDescent="0.25">
      <c r="A23" s="28" t="s">
        <v>30</v>
      </c>
      <c r="B23" s="8">
        <v>0</v>
      </c>
      <c r="C23" s="8">
        <v>0</v>
      </c>
      <c r="D23" s="8">
        <v>0</v>
      </c>
      <c r="E23" s="74">
        <v>0</v>
      </c>
      <c r="F23" s="8">
        <v>0</v>
      </c>
      <c r="G23" s="8">
        <v>0</v>
      </c>
      <c r="H23" s="8">
        <v>0</v>
      </c>
      <c r="I23" s="74">
        <v>0</v>
      </c>
      <c r="J23" s="8">
        <v>0</v>
      </c>
      <c r="K23" s="8">
        <v>0</v>
      </c>
      <c r="L23" s="8">
        <v>0</v>
      </c>
      <c r="M23" s="74">
        <v>0</v>
      </c>
      <c r="N23" s="8">
        <v>0</v>
      </c>
      <c r="O23" s="8">
        <v>0</v>
      </c>
      <c r="P23" s="8">
        <v>0</v>
      </c>
      <c r="Q23" s="74">
        <v>0</v>
      </c>
      <c r="R23" s="8">
        <v>0</v>
      </c>
      <c r="S23" s="8">
        <v>0</v>
      </c>
      <c r="T23" s="8">
        <v>0</v>
      </c>
      <c r="U23" s="74"/>
      <c r="V23" s="8"/>
      <c r="W23" s="8"/>
      <c r="X23" s="8"/>
      <c r="Y23" s="74"/>
      <c r="Z23" s="8"/>
    </row>
    <row r="24" spans="1:26" ht="14.1" customHeight="1" x14ac:dyDescent="0.25">
      <c r="A24" s="28" t="s">
        <v>117</v>
      </c>
      <c r="B24" s="37">
        <v>0</v>
      </c>
      <c r="C24" s="37">
        <v>0</v>
      </c>
      <c r="D24" s="37">
        <v>0</v>
      </c>
      <c r="E24" s="77">
        <v>0</v>
      </c>
      <c r="F24" s="37">
        <v>0</v>
      </c>
      <c r="G24" s="37">
        <v>0</v>
      </c>
      <c r="H24" s="37">
        <v>0</v>
      </c>
      <c r="I24" s="77">
        <v>0</v>
      </c>
      <c r="J24" s="37">
        <v>0</v>
      </c>
      <c r="K24" s="37">
        <v>0</v>
      </c>
      <c r="L24" s="37">
        <v>94.1</v>
      </c>
      <c r="M24" s="77">
        <v>164.9</v>
      </c>
      <c r="N24" s="37">
        <v>192.8</v>
      </c>
      <c r="O24" s="37">
        <v>292</v>
      </c>
      <c r="P24" s="37">
        <v>292.3</v>
      </c>
      <c r="Q24" s="77">
        <v>292.60000000000002</v>
      </c>
      <c r="R24" s="37">
        <v>292.89999999999998</v>
      </c>
      <c r="S24" s="37">
        <v>454.7</v>
      </c>
      <c r="T24" s="37">
        <v>451.4</v>
      </c>
      <c r="U24" s="77">
        <v>468.2</v>
      </c>
      <c r="V24" s="37">
        <v>488.5</v>
      </c>
      <c r="W24" s="37">
        <v>539.6</v>
      </c>
      <c r="X24" s="37">
        <v>688.9</v>
      </c>
      <c r="Y24" s="77">
        <v>741.7</v>
      </c>
      <c r="Z24" s="37">
        <v>877.1</v>
      </c>
    </row>
    <row r="25" spans="1:26" ht="14.1" customHeight="1" x14ac:dyDescent="0.25">
      <c r="A25" s="28" t="s">
        <v>31</v>
      </c>
      <c r="B25" s="37">
        <v>3.6</v>
      </c>
      <c r="C25" s="37">
        <v>4</v>
      </c>
      <c r="D25" s="37">
        <v>4.4000000000000004</v>
      </c>
      <c r="E25" s="77">
        <v>4.9000000000000004</v>
      </c>
      <c r="F25" s="37">
        <v>5.4</v>
      </c>
      <c r="G25" s="37">
        <v>5.9</v>
      </c>
      <c r="H25" s="37">
        <v>6.4</v>
      </c>
      <c r="I25" s="77">
        <v>6.9</v>
      </c>
      <c r="J25" s="37">
        <v>7.5</v>
      </c>
      <c r="K25" s="37">
        <v>8.1</v>
      </c>
      <c r="L25" s="37">
        <v>8.5</v>
      </c>
      <c r="M25" s="77">
        <v>9.3000000000000007</v>
      </c>
      <c r="N25" s="37">
        <v>9.9</v>
      </c>
      <c r="O25" s="37">
        <v>10.4</v>
      </c>
      <c r="P25" s="37">
        <v>11</v>
      </c>
      <c r="Q25" s="77">
        <v>11.7</v>
      </c>
      <c r="R25" s="37">
        <v>11.8</v>
      </c>
      <c r="S25" s="37">
        <v>12.3</v>
      </c>
      <c r="T25" s="37">
        <v>12.7</v>
      </c>
      <c r="U25" s="77">
        <v>13.6</v>
      </c>
      <c r="V25" s="37">
        <v>13.3</v>
      </c>
      <c r="W25" s="37">
        <v>12</v>
      </c>
      <c r="X25" s="37">
        <v>12.5</v>
      </c>
      <c r="Y25" s="77">
        <v>0</v>
      </c>
      <c r="Z25" s="37">
        <v>0</v>
      </c>
    </row>
    <row r="26" spans="1:26" ht="14.1" customHeight="1" x14ac:dyDescent="0.25">
      <c r="A26" s="28" t="s">
        <v>19</v>
      </c>
      <c r="B26" s="8">
        <v>1.4</v>
      </c>
      <c r="C26" s="8">
        <v>2</v>
      </c>
      <c r="D26" s="8">
        <v>1.7</v>
      </c>
      <c r="E26" s="77">
        <v>0.4</v>
      </c>
      <c r="F26" s="8">
        <v>0</v>
      </c>
      <c r="G26" s="8">
        <v>0</v>
      </c>
      <c r="H26" s="8">
        <v>0</v>
      </c>
      <c r="I26" s="77">
        <v>0</v>
      </c>
      <c r="J26" s="8">
        <v>5</v>
      </c>
      <c r="K26" s="8">
        <v>4.5</v>
      </c>
      <c r="L26" s="8">
        <v>0</v>
      </c>
      <c r="M26" s="77">
        <v>1.4</v>
      </c>
      <c r="N26" s="8">
        <v>0.6</v>
      </c>
      <c r="O26" s="8">
        <v>0</v>
      </c>
      <c r="P26" s="8">
        <v>1.9</v>
      </c>
      <c r="Q26" s="77">
        <v>0.4</v>
      </c>
      <c r="R26" s="8">
        <v>0.5</v>
      </c>
      <c r="S26" s="8">
        <v>0.8</v>
      </c>
      <c r="T26" s="37">
        <v>0.2</v>
      </c>
      <c r="U26" s="77">
        <v>0.2</v>
      </c>
      <c r="V26" s="37">
        <v>0.7</v>
      </c>
      <c r="W26" s="37">
        <v>0</v>
      </c>
      <c r="X26" s="37">
        <v>0.9</v>
      </c>
      <c r="Y26" s="77">
        <v>0</v>
      </c>
      <c r="Z26" s="37">
        <v>6.8</v>
      </c>
    </row>
    <row r="27" spans="1:26" ht="14.1" customHeight="1" x14ac:dyDescent="0.25">
      <c r="A27" s="84" t="s">
        <v>101</v>
      </c>
      <c r="B27" s="37">
        <v>11.2</v>
      </c>
      <c r="C27" s="37">
        <v>12.7</v>
      </c>
      <c r="D27" s="37">
        <v>12.9</v>
      </c>
      <c r="E27" s="77">
        <v>13</v>
      </c>
      <c r="F27" s="37">
        <v>13.2</v>
      </c>
      <c r="G27" s="37">
        <v>14.7</v>
      </c>
      <c r="H27" s="37">
        <v>14.9</v>
      </c>
      <c r="I27" s="77">
        <v>14.2</v>
      </c>
      <c r="J27" s="37">
        <f>14.4+12.4</f>
        <v>26.8</v>
      </c>
      <c r="K27" s="37">
        <f>14.6+12.5</f>
        <v>27.1</v>
      </c>
      <c r="L27" s="37">
        <f>14.9+12.3</f>
        <v>27.200000000000003</v>
      </c>
      <c r="M27" s="77">
        <f>13.4+10.4</f>
        <v>23.8</v>
      </c>
      <c r="N27" s="37">
        <v>24</v>
      </c>
      <c r="O27" s="37">
        <v>25.1</v>
      </c>
      <c r="P27" s="37">
        <v>179.4</v>
      </c>
      <c r="Q27" s="77">
        <v>224</v>
      </c>
      <c r="R27" s="37">
        <v>245.73399849</v>
      </c>
      <c r="S27" s="37">
        <v>248.31286846</v>
      </c>
      <c r="T27" s="37">
        <v>192.79715667000002</v>
      </c>
      <c r="U27" s="77">
        <v>194.73490269999999</v>
      </c>
      <c r="V27" s="37">
        <v>197</v>
      </c>
      <c r="W27" s="37">
        <v>276.89999999999998</v>
      </c>
      <c r="X27" s="37">
        <v>271.5</v>
      </c>
      <c r="Y27" s="77">
        <v>272.60000000000002</v>
      </c>
      <c r="Z27" s="37">
        <v>275.5</v>
      </c>
    </row>
    <row r="28" spans="1:26" ht="14.1" customHeight="1" x14ac:dyDescent="0.25">
      <c r="A28" s="28" t="s">
        <v>32</v>
      </c>
      <c r="B28" s="37">
        <v>254.9</v>
      </c>
      <c r="C28" s="37">
        <v>235.4</v>
      </c>
      <c r="D28" s="37">
        <v>231.4</v>
      </c>
      <c r="E28" s="77">
        <v>233.1</v>
      </c>
      <c r="F28" s="37">
        <v>228.1</v>
      </c>
      <c r="G28" s="37">
        <v>223.1</v>
      </c>
      <c r="H28" s="37">
        <v>218.1</v>
      </c>
      <c r="I28" s="77">
        <v>213.6</v>
      </c>
      <c r="J28" s="37">
        <v>204.7</v>
      </c>
      <c r="K28" s="37">
        <v>245.5</v>
      </c>
      <c r="L28" s="37">
        <v>191.4</v>
      </c>
      <c r="M28" s="77">
        <v>187.2</v>
      </c>
      <c r="N28" s="37">
        <v>183</v>
      </c>
      <c r="O28" s="37">
        <v>178.6</v>
      </c>
      <c r="P28" s="37">
        <v>94.4</v>
      </c>
      <c r="Q28" s="77">
        <v>108.6</v>
      </c>
      <c r="R28" s="37">
        <v>99.5</v>
      </c>
      <c r="S28" s="37">
        <v>93</v>
      </c>
      <c r="T28" s="37">
        <v>93.4</v>
      </c>
      <c r="U28" s="77">
        <v>86.8</v>
      </c>
      <c r="V28" s="37">
        <v>80.400000000000006</v>
      </c>
      <c r="W28" s="37">
        <v>77.3</v>
      </c>
      <c r="X28" s="37">
        <v>72.5</v>
      </c>
      <c r="Y28" s="77">
        <v>186</v>
      </c>
      <c r="Z28" s="37">
        <v>192.3</v>
      </c>
    </row>
    <row r="29" spans="1:26" ht="14.1" customHeight="1" x14ac:dyDescent="0.25">
      <c r="A29" s="84" t="s">
        <v>102</v>
      </c>
      <c r="B29" s="37">
        <v>0</v>
      </c>
      <c r="C29" s="37">
        <v>0</v>
      </c>
      <c r="D29" s="37">
        <v>0</v>
      </c>
      <c r="E29" s="77">
        <v>0</v>
      </c>
      <c r="F29" s="37">
        <v>0</v>
      </c>
      <c r="G29" s="37">
        <v>0</v>
      </c>
      <c r="H29" s="37">
        <v>0</v>
      </c>
      <c r="I29" s="77">
        <v>50.3</v>
      </c>
      <c r="J29" s="37">
        <v>50.3</v>
      </c>
      <c r="K29" s="37">
        <v>50.3</v>
      </c>
      <c r="L29" s="37">
        <v>50.3</v>
      </c>
      <c r="M29" s="77">
        <v>33.6</v>
      </c>
      <c r="N29" s="37">
        <v>33.6</v>
      </c>
      <c r="O29" s="37">
        <v>33.6</v>
      </c>
      <c r="P29" s="37">
        <v>46.3</v>
      </c>
      <c r="Q29" s="77">
        <v>67.400000000000006</v>
      </c>
      <c r="R29" s="37">
        <v>26.36600150999999</v>
      </c>
      <c r="S29" s="37">
        <v>26.28713153999999</v>
      </c>
      <c r="T29" s="37">
        <v>9.6028433299999882</v>
      </c>
      <c r="U29" s="77">
        <v>9.365097299999988</v>
      </c>
      <c r="V29" s="37">
        <v>8.1999999999999993</v>
      </c>
      <c r="W29" s="37">
        <v>7.2999999999999972</v>
      </c>
      <c r="X29" s="37">
        <v>6.2999999999999972</v>
      </c>
      <c r="Y29" s="77">
        <v>5.8</v>
      </c>
      <c r="Z29" s="37">
        <v>4.5</v>
      </c>
    </row>
    <row r="30" spans="1:26" ht="14.1" customHeight="1" x14ac:dyDescent="0.25">
      <c r="A30" s="29" t="s">
        <v>33</v>
      </c>
      <c r="B30" s="38">
        <f>SUM(B23:B29)</f>
        <v>271.10000000000002</v>
      </c>
      <c r="C30" s="38">
        <v>254.1</v>
      </c>
      <c r="D30" s="38">
        <f t="shared" ref="D30:N30" si="8">SUM(D23:D29)</f>
        <v>250.4</v>
      </c>
      <c r="E30" s="76">
        <f t="shared" si="8"/>
        <v>251.4</v>
      </c>
      <c r="F30" s="38">
        <f t="shared" si="8"/>
        <v>246.7</v>
      </c>
      <c r="G30" s="38">
        <f t="shared" si="8"/>
        <v>243.7</v>
      </c>
      <c r="H30" s="38">
        <f t="shared" si="8"/>
        <v>239.4</v>
      </c>
      <c r="I30" s="76">
        <f t="shared" si="8"/>
        <v>285</v>
      </c>
      <c r="J30" s="38">
        <f t="shared" si="8"/>
        <v>294.3</v>
      </c>
      <c r="K30" s="38">
        <f t="shared" si="8"/>
        <v>335.5</v>
      </c>
      <c r="L30" s="38">
        <f t="shared" si="8"/>
        <v>371.50000000000006</v>
      </c>
      <c r="M30" s="76">
        <f t="shared" si="8"/>
        <v>420.20000000000005</v>
      </c>
      <c r="N30" s="38">
        <f t="shared" si="8"/>
        <v>443.90000000000003</v>
      </c>
      <c r="O30" s="38">
        <v>539.70000000000005</v>
      </c>
      <c r="P30" s="38">
        <v>625.29999999999995</v>
      </c>
      <c r="Q30" s="76">
        <f>SUM(Q23:Q29)</f>
        <v>704.7</v>
      </c>
      <c r="R30" s="38">
        <f>SUM(R23:R29)</f>
        <v>676.8</v>
      </c>
      <c r="S30" s="38">
        <v>835.4</v>
      </c>
      <c r="T30" s="67">
        <f t="shared" ref="T30:Z30" si="9">SUM(T23:T29)</f>
        <v>760.1</v>
      </c>
      <c r="U30" s="76">
        <f t="shared" si="9"/>
        <v>772.9</v>
      </c>
      <c r="V30" s="67">
        <f t="shared" si="9"/>
        <v>788.1</v>
      </c>
      <c r="W30" s="67">
        <f t="shared" si="9"/>
        <v>913.09999999999991</v>
      </c>
      <c r="X30" s="67">
        <f t="shared" si="9"/>
        <v>1052.5999999999999</v>
      </c>
      <c r="Y30" s="76">
        <f t="shared" si="9"/>
        <v>1206.1000000000001</v>
      </c>
      <c r="Z30" s="67">
        <f t="shared" si="9"/>
        <v>1356.2</v>
      </c>
    </row>
    <row r="31" spans="1:26" ht="14.1" customHeight="1" x14ac:dyDescent="0.25">
      <c r="A31" s="28" t="s">
        <v>117</v>
      </c>
      <c r="B31" s="39"/>
      <c r="C31" s="39"/>
      <c r="D31" s="39"/>
      <c r="E31" s="78"/>
      <c r="F31" s="39">
        <v>0</v>
      </c>
      <c r="G31" s="39">
        <v>0</v>
      </c>
      <c r="H31" s="39">
        <v>0</v>
      </c>
      <c r="I31" s="78">
        <v>0</v>
      </c>
      <c r="J31" s="39">
        <v>0</v>
      </c>
      <c r="K31" s="39">
        <v>0</v>
      </c>
      <c r="L31" s="39">
        <v>0</v>
      </c>
      <c r="M31" s="78">
        <v>0</v>
      </c>
      <c r="N31" s="39">
        <v>0</v>
      </c>
      <c r="O31" s="39">
        <v>0</v>
      </c>
      <c r="P31" s="64">
        <v>79.900000000000006</v>
      </c>
      <c r="Q31" s="78">
        <v>79.900000000000006</v>
      </c>
      <c r="R31" s="64">
        <v>119.9</v>
      </c>
      <c r="S31" s="64">
        <v>134.5</v>
      </c>
      <c r="T31" s="69">
        <v>104.6</v>
      </c>
      <c r="U31" s="78">
        <v>94.6</v>
      </c>
      <c r="V31" s="69">
        <v>94.6</v>
      </c>
      <c r="W31" s="69">
        <v>74.3</v>
      </c>
      <c r="X31" s="69">
        <v>54.5</v>
      </c>
      <c r="Y31" s="78">
        <v>14.6</v>
      </c>
      <c r="Z31" s="69">
        <v>94.3</v>
      </c>
    </row>
    <row r="32" spans="1:26" ht="14.1" customHeight="1" x14ac:dyDescent="0.25">
      <c r="A32" s="28" t="s">
        <v>34</v>
      </c>
      <c r="B32" s="37">
        <v>84.8</v>
      </c>
      <c r="C32" s="37">
        <v>51.1</v>
      </c>
      <c r="D32" s="37">
        <v>42.6</v>
      </c>
      <c r="E32" s="77">
        <v>49.4</v>
      </c>
      <c r="F32" s="37">
        <v>44.699999999999996</v>
      </c>
      <c r="G32" s="37">
        <v>86.5</v>
      </c>
      <c r="H32" s="37">
        <v>89.300000000000011</v>
      </c>
      <c r="I32" s="77">
        <v>83.7</v>
      </c>
      <c r="J32" s="37">
        <v>97.2</v>
      </c>
      <c r="K32" s="37">
        <v>89.1</v>
      </c>
      <c r="L32" s="37">
        <v>91.300000000000011</v>
      </c>
      <c r="M32" s="77">
        <v>107.2</v>
      </c>
      <c r="N32" s="37">
        <v>125.1</v>
      </c>
      <c r="O32" s="37">
        <v>145.4</v>
      </c>
      <c r="P32" s="37">
        <v>170.7</v>
      </c>
      <c r="Q32" s="77">
        <v>220.29999999999998</v>
      </c>
      <c r="R32" s="37">
        <v>234</v>
      </c>
      <c r="S32" s="37">
        <v>209.5</v>
      </c>
      <c r="T32" s="37">
        <v>200.4</v>
      </c>
      <c r="U32" s="77">
        <v>197</v>
      </c>
      <c r="V32" s="37">
        <v>190.1</v>
      </c>
      <c r="W32" s="37">
        <v>135.9</v>
      </c>
      <c r="X32" s="37">
        <v>195.4</v>
      </c>
      <c r="Y32" s="77">
        <v>219.1</v>
      </c>
      <c r="Z32" s="37">
        <v>188.3</v>
      </c>
    </row>
    <row r="33" spans="1:26" ht="14.1" customHeight="1" x14ac:dyDescent="0.25">
      <c r="A33" s="28" t="s">
        <v>19</v>
      </c>
      <c r="B33" s="8">
        <v>0</v>
      </c>
      <c r="C33" s="8">
        <v>0</v>
      </c>
      <c r="D33" s="8">
        <v>0</v>
      </c>
      <c r="E33" s="77">
        <v>0</v>
      </c>
      <c r="F33" s="8">
        <v>0</v>
      </c>
      <c r="G33" s="8">
        <v>0</v>
      </c>
      <c r="H33" s="8">
        <v>0</v>
      </c>
      <c r="I33" s="77">
        <v>0</v>
      </c>
      <c r="J33" s="8">
        <v>17.2</v>
      </c>
      <c r="K33" s="8">
        <v>10.7</v>
      </c>
      <c r="L33" s="8">
        <v>3.6</v>
      </c>
      <c r="M33" s="77">
        <v>4.2</v>
      </c>
      <c r="N33" s="8">
        <v>1.1000000000000001</v>
      </c>
      <c r="O33" s="8">
        <v>0</v>
      </c>
      <c r="P33" s="8">
        <v>6.2</v>
      </c>
      <c r="Q33" s="77">
        <v>0</v>
      </c>
      <c r="R33" s="8">
        <v>1.1000000000000001</v>
      </c>
      <c r="S33" s="8">
        <v>2.5</v>
      </c>
      <c r="T33" s="37">
        <v>0</v>
      </c>
      <c r="U33" s="77">
        <v>0.8</v>
      </c>
      <c r="V33" s="37">
        <v>0.8</v>
      </c>
      <c r="W33" s="37">
        <v>0</v>
      </c>
      <c r="X33" s="37">
        <v>0</v>
      </c>
      <c r="Y33" s="77">
        <v>0.1</v>
      </c>
      <c r="Z33" s="37">
        <v>74.099999999999994</v>
      </c>
    </row>
    <row r="34" spans="1:26" ht="14.1" customHeight="1" x14ac:dyDescent="0.25">
      <c r="A34" s="28" t="s">
        <v>35</v>
      </c>
      <c r="B34" s="37">
        <v>18.7</v>
      </c>
      <c r="C34" s="37">
        <v>15.8</v>
      </c>
      <c r="D34" s="37">
        <v>15.9</v>
      </c>
      <c r="E34" s="77">
        <v>19.100000000000001</v>
      </c>
      <c r="F34" s="37">
        <v>19.3</v>
      </c>
      <c r="G34" s="37">
        <v>19.5</v>
      </c>
      <c r="H34" s="37">
        <v>19.7</v>
      </c>
      <c r="I34" s="77">
        <v>19.600000000000001</v>
      </c>
      <c r="J34" s="37">
        <v>17.600000000000001</v>
      </c>
      <c r="K34" s="37">
        <v>15</v>
      </c>
      <c r="L34" s="37">
        <v>65.2</v>
      </c>
      <c r="M34" s="77">
        <v>68.8</v>
      </c>
      <c r="N34" s="37">
        <v>68.599999999999994</v>
      </c>
      <c r="O34" s="37">
        <v>68.400000000000006</v>
      </c>
      <c r="P34" s="37">
        <v>83</v>
      </c>
      <c r="Q34" s="77">
        <v>37.9</v>
      </c>
      <c r="R34" s="37">
        <v>37.9</v>
      </c>
      <c r="S34" s="37">
        <v>37</v>
      </c>
      <c r="T34" s="37">
        <v>49</v>
      </c>
      <c r="U34" s="77">
        <v>43.3</v>
      </c>
      <c r="V34" s="37">
        <v>38.299999999999997</v>
      </c>
      <c r="W34" s="37">
        <v>35</v>
      </c>
      <c r="X34" s="37">
        <v>137</v>
      </c>
      <c r="Y34" s="77">
        <v>43.5</v>
      </c>
      <c r="Z34" s="37">
        <v>38.799999999999997</v>
      </c>
    </row>
    <row r="35" spans="1:26" ht="14.1" customHeight="1" x14ac:dyDescent="0.25">
      <c r="A35" s="29" t="s">
        <v>36</v>
      </c>
      <c r="B35" s="38">
        <f t="shared" ref="B35:I35" si="10">SUM(B32:B34)</f>
        <v>103.5</v>
      </c>
      <c r="C35" s="38">
        <f t="shared" si="10"/>
        <v>66.900000000000006</v>
      </c>
      <c r="D35" s="38">
        <f t="shared" si="10"/>
        <v>58.5</v>
      </c>
      <c r="E35" s="76">
        <f t="shared" si="10"/>
        <v>68.5</v>
      </c>
      <c r="F35" s="38">
        <f t="shared" si="10"/>
        <v>64</v>
      </c>
      <c r="G35" s="38">
        <f t="shared" si="10"/>
        <v>106</v>
      </c>
      <c r="H35" s="38">
        <f t="shared" si="10"/>
        <v>109.00000000000001</v>
      </c>
      <c r="I35" s="76">
        <f t="shared" si="10"/>
        <v>103.30000000000001</v>
      </c>
      <c r="J35" s="38">
        <v>132</v>
      </c>
      <c r="K35" s="38">
        <v>114.8</v>
      </c>
      <c r="L35" s="38">
        <f>SUM(L32:L34)</f>
        <v>160.10000000000002</v>
      </c>
      <c r="M35" s="76">
        <f>SUM(M32:M34)</f>
        <v>180.2</v>
      </c>
      <c r="N35" s="38">
        <f>SUM(N32:N34)</f>
        <v>194.79999999999998</v>
      </c>
      <c r="O35" s="38">
        <v>213.8</v>
      </c>
      <c r="P35" s="38">
        <v>339.8</v>
      </c>
      <c r="Q35" s="76">
        <f>SUM(Q31:Q34)</f>
        <v>338.09999999999997</v>
      </c>
      <c r="R35" s="38">
        <f>SUM(R31:R34)</f>
        <v>392.9</v>
      </c>
      <c r="S35" s="38">
        <v>383.5</v>
      </c>
      <c r="T35" s="67">
        <f t="shared" ref="T35:Y35" si="11">SUM(T31:T34)</f>
        <v>354</v>
      </c>
      <c r="U35" s="76">
        <f t="shared" si="11"/>
        <v>335.70000000000005</v>
      </c>
      <c r="V35" s="67">
        <f t="shared" si="11"/>
        <v>323.8</v>
      </c>
      <c r="W35" s="67">
        <f t="shared" si="11"/>
        <v>245.2</v>
      </c>
      <c r="X35" s="67">
        <f t="shared" si="11"/>
        <v>386.9</v>
      </c>
      <c r="Y35" s="76">
        <f t="shared" si="11"/>
        <v>277.29999999999995</v>
      </c>
      <c r="Z35" s="67">
        <f t="shared" ref="Z35" si="12">SUM(Z31:Z34)</f>
        <v>395.50000000000006</v>
      </c>
    </row>
    <row r="36" spans="1:26" ht="14.1" customHeight="1" x14ac:dyDescent="0.25">
      <c r="A36" s="29" t="s">
        <v>37</v>
      </c>
      <c r="B36" s="38">
        <f>B35+B30</f>
        <v>374.6</v>
      </c>
      <c r="C36" s="38">
        <v>321</v>
      </c>
      <c r="D36" s="38">
        <f t="shared" ref="D36:N36" si="13">D35+D30</f>
        <v>308.89999999999998</v>
      </c>
      <c r="E36" s="76">
        <f t="shared" si="13"/>
        <v>319.89999999999998</v>
      </c>
      <c r="F36" s="38">
        <f t="shared" si="13"/>
        <v>310.7</v>
      </c>
      <c r="G36" s="38">
        <f t="shared" si="13"/>
        <v>349.7</v>
      </c>
      <c r="H36" s="38">
        <f t="shared" si="13"/>
        <v>348.40000000000003</v>
      </c>
      <c r="I36" s="76">
        <f t="shared" si="13"/>
        <v>388.3</v>
      </c>
      <c r="J36" s="38">
        <f t="shared" si="13"/>
        <v>426.3</v>
      </c>
      <c r="K36" s="38">
        <f t="shared" si="13"/>
        <v>450.3</v>
      </c>
      <c r="L36" s="38">
        <f t="shared" si="13"/>
        <v>531.60000000000014</v>
      </c>
      <c r="M36" s="76">
        <f t="shared" si="13"/>
        <v>600.40000000000009</v>
      </c>
      <c r="N36" s="38">
        <f t="shared" si="13"/>
        <v>638.70000000000005</v>
      </c>
      <c r="O36" s="38">
        <v>753.5</v>
      </c>
      <c r="P36" s="38">
        <v>965.09999999999991</v>
      </c>
      <c r="Q36" s="76">
        <f>Q35+Q30</f>
        <v>1042.8</v>
      </c>
      <c r="R36" s="38">
        <f>R35+R30</f>
        <v>1069.6999999999998</v>
      </c>
      <c r="S36" s="38">
        <v>1218.9000000000001</v>
      </c>
      <c r="T36" s="67">
        <f t="shared" ref="T36:Z36" si="14">T35+T30</f>
        <v>1114.0999999999999</v>
      </c>
      <c r="U36" s="76">
        <f t="shared" si="14"/>
        <v>1108.5999999999999</v>
      </c>
      <c r="V36" s="67">
        <f t="shared" si="14"/>
        <v>1111.9000000000001</v>
      </c>
      <c r="W36" s="67">
        <f t="shared" si="14"/>
        <v>1158.3</v>
      </c>
      <c r="X36" s="67">
        <f t="shared" si="14"/>
        <v>1439.5</v>
      </c>
      <c r="Y36" s="76">
        <f t="shared" si="14"/>
        <v>1483.4</v>
      </c>
      <c r="Z36" s="67">
        <f t="shared" si="14"/>
        <v>1751.7</v>
      </c>
    </row>
    <row r="37" spans="1:26" ht="14.1" customHeight="1" x14ac:dyDescent="0.25">
      <c r="A37" s="29" t="s">
        <v>38</v>
      </c>
      <c r="B37" s="38">
        <f>B36+B22</f>
        <v>835.5</v>
      </c>
      <c r="C37" s="38">
        <v>776.3</v>
      </c>
      <c r="D37" s="38">
        <f t="shared" ref="D37:N37" si="15">D36+D22</f>
        <v>757.3</v>
      </c>
      <c r="E37" s="76">
        <f t="shared" si="15"/>
        <v>763.09999999999991</v>
      </c>
      <c r="F37" s="38">
        <f t="shared" si="15"/>
        <v>835.5</v>
      </c>
      <c r="G37" s="38">
        <f t="shared" si="15"/>
        <v>890</v>
      </c>
      <c r="H37" s="38">
        <f t="shared" si="15"/>
        <v>878.60000000000014</v>
      </c>
      <c r="I37" s="76">
        <f t="shared" si="15"/>
        <v>957.5</v>
      </c>
      <c r="J37" s="38">
        <f t="shared" si="15"/>
        <v>1031.4000000000001</v>
      </c>
      <c r="K37" s="38">
        <f t="shared" si="15"/>
        <v>1039.2</v>
      </c>
      <c r="L37" s="38">
        <f t="shared" si="15"/>
        <v>1154.6000000000001</v>
      </c>
      <c r="M37" s="76">
        <f t="shared" si="15"/>
        <v>1215.7</v>
      </c>
      <c r="N37" s="38">
        <f t="shared" si="15"/>
        <v>1249.3000000000002</v>
      </c>
      <c r="O37" s="38">
        <v>1369.7</v>
      </c>
      <c r="P37" s="38">
        <v>1582.1999999999998</v>
      </c>
      <c r="Q37" s="76">
        <f>Q36+Q22</f>
        <v>1740.4</v>
      </c>
      <c r="R37" s="38">
        <f>R36+R22</f>
        <v>1814.6</v>
      </c>
      <c r="S37" s="38">
        <v>1978.7</v>
      </c>
      <c r="T37" s="67">
        <f t="shared" ref="T37:Z37" si="16">T36+T22</f>
        <v>1919.5</v>
      </c>
      <c r="U37" s="76">
        <f t="shared" si="16"/>
        <v>1970.1999999999998</v>
      </c>
      <c r="V37" s="67">
        <f t="shared" si="16"/>
        <v>2052.1999999999998</v>
      </c>
      <c r="W37" s="67">
        <f t="shared" si="16"/>
        <v>2124.1999999999998</v>
      </c>
      <c r="X37" s="67">
        <f t="shared" si="16"/>
        <v>2427.3000000000002</v>
      </c>
      <c r="Y37" s="76">
        <f t="shared" si="16"/>
        <v>2484.3789345600003</v>
      </c>
      <c r="Z37" s="67">
        <f t="shared" si="16"/>
        <v>2780.6000000000004</v>
      </c>
    </row>
    <row r="38" spans="1:26" ht="14.1" customHeight="1" x14ac:dyDescent="0.25">
      <c r="A38" s="30"/>
      <c r="B38" s="80"/>
      <c r="C38" s="80"/>
      <c r="D38" s="80"/>
      <c r="E38" s="81"/>
      <c r="F38" s="80"/>
      <c r="G38" s="80"/>
      <c r="H38" s="80"/>
      <c r="I38" s="81"/>
      <c r="J38" s="80"/>
      <c r="K38" s="80"/>
      <c r="L38" s="80"/>
      <c r="M38" s="81"/>
      <c r="N38" s="80"/>
      <c r="O38" s="80"/>
      <c r="P38" s="80"/>
      <c r="Q38" s="81"/>
      <c r="R38" s="80"/>
      <c r="S38" s="80"/>
      <c r="T38" s="81"/>
      <c r="U38" s="81"/>
      <c r="V38" s="81"/>
      <c r="W38" s="81"/>
      <c r="X38" s="81"/>
      <c r="Y38" s="81"/>
      <c r="Z38" s="81"/>
    </row>
    <row r="39" spans="1:26" ht="14.1" customHeight="1" x14ac:dyDescent="0.25">
      <c r="A39" s="85"/>
    </row>
    <row r="40" spans="1:26" ht="14.1" customHeight="1" x14ac:dyDescent="0.25">
      <c r="A40" s="82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</row>
    <row r="41" spans="1:26" ht="14.1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4.1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Y42" s="37"/>
    </row>
  </sheetData>
  <phoneticPr fontId="8" type="noConversion"/>
  <printOptions horizontalCentered="1"/>
  <pageMargins left="0.7" right="0.7" top="0.75" bottom="0.75" header="0.3" footer="0.3"/>
  <pageSetup scale="88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2060"/>
    <pageSetUpPr fitToPage="1"/>
  </sheetPr>
  <dimension ref="A1:AF43"/>
  <sheetViews>
    <sheetView showGridLines="0" tabSelected="1" topLeftCell="A4" zoomScaleNormal="100" zoomScalePageLayoutView="115" workbookViewId="0">
      <selection activeCell="B23" sqref="B23"/>
    </sheetView>
  </sheetViews>
  <sheetFormatPr defaultColWidth="8.6640625" defaultRowHeight="13.95" customHeight="1" outlineLevelCol="1" x14ac:dyDescent="0.3"/>
  <cols>
    <col min="1" max="1" width="69" style="12" bestFit="1" customWidth="1"/>
    <col min="2" max="10" width="11" style="12" customWidth="1" outlineLevel="1"/>
    <col min="11" max="25" width="8.6640625" style="12" customWidth="1" outlineLevel="1"/>
    <col min="26" max="26" width="10.6640625" style="12" customWidth="1" outlineLevel="1"/>
    <col min="27" max="31" width="8.6640625" style="12"/>
    <col min="32" max="32" width="8.6640625" style="12" collapsed="1"/>
    <col min="33" max="233" width="8.6640625" style="12"/>
    <col min="234" max="234" width="38.33203125" style="12" customWidth="1"/>
    <col min="235" max="235" width="9.6640625" style="12" customWidth="1"/>
    <col min="236" max="238" width="8.33203125" style="12" customWidth="1"/>
    <col min="239" max="239" width="7.44140625" style="12" customWidth="1"/>
    <col min="240" max="240" width="8.6640625" style="12" customWidth="1"/>
    <col min="241" max="489" width="8.6640625" style="12"/>
    <col min="490" max="490" width="38.33203125" style="12" customWidth="1"/>
    <col min="491" max="491" width="9.6640625" style="12" customWidth="1"/>
    <col min="492" max="494" width="8.33203125" style="12" customWidth="1"/>
    <col min="495" max="495" width="7.44140625" style="12" customWidth="1"/>
    <col min="496" max="496" width="8.6640625" style="12" customWidth="1"/>
    <col min="497" max="745" width="8.6640625" style="12"/>
    <col min="746" max="746" width="38.33203125" style="12" customWidth="1"/>
    <col min="747" max="747" width="9.6640625" style="12" customWidth="1"/>
    <col min="748" max="750" width="8.33203125" style="12" customWidth="1"/>
    <col min="751" max="751" width="7.44140625" style="12" customWidth="1"/>
    <col min="752" max="752" width="8.6640625" style="12" customWidth="1"/>
    <col min="753" max="1001" width="8.6640625" style="12"/>
    <col min="1002" max="1002" width="38.33203125" style="12" customWidth="1"/>
    <col min="1003" max="1003" width="9.6640625" style="12" customWidth="1"/>
    <col min="1004" max="1006" width="8.33203125" style="12" customWidth="1"/>
    <col min="1007" max="1007" width="7.44140625" style="12" customWidth="1"/>
    <col min="1008" max="1008" width="8.6640625" style="12" customWidth="1"/>
    <col min="1009" max="1257" width="8.6640625" style="12"/>
    <col min="1258" max="1258" width="38.33203125" style="12" customWidth="1"/>
    <col min="1259" max="1259" width="9.6640625" style="12" customWidth="1"/>
    <col min="1260" max="1262" width="8.33203125" style="12" customWidth="1"/>
    <col min="1263" max="1263" width="7.44140625" style="12" customWidth="1"/>
    <col min="1264" max="1264" width="8.6640625" style="12" customWidth="1"/>
    <col min="1265" max="1513" width="8.6640625" style="12"/>
    <col min="1514" max="1514" width="38.33203125" style="12" customWidth="1"/>
    <col min="1515" max="1515" width="9.6640625" style="12" customWidth="1"/>
    <col min="1516" max="1518" width="8.33203125" style="12" customWidth="1"/>
    <col min="1519" max="1519" width="7.44140625" style="12" customWidth="1"/>
    <col min="1520" max="1520" width="8.6640625" style="12" customWidth="1"/>
    <col min="1521" max="1769" width="8.6640625" style="12"/>
    <col min="1770" max="1770" width="38.33203125" style="12" customWidth="1"/>
    <col min="1771" max="1771" width="9.6640625" style="12" customWidth="1"/>
    <col min="1772" max="1774" width="8.33203125" style="12" customWidth="1"/>
    <col min="1775" max="1775" width="7.44140625" style="12" customWidth="1"/>
    <col min="1776" max="1776" width="8.6640625" style="12" customWidth="1"/>
    <col min="1777" max="2025" width="8.6640625" style="12"/>
    <col min="2026" max="2026" width="38.33203125" style="12" customWidth="1"/>
    <col min="2027" max="2027" width="9.6640625" style="12" customWidth="1"/>
    <col min="2028" max="2030" width="8.33203125" style="12" customWidth="1"/>
    <col min="2031" max="2031" width="7.44140625" style="12" customWidth="1"/>
    <col min="2032" max="2032" width="8.6640625" style="12" customWidth="1"/>
    <col min="2033" max="2281" width="8.6640625" style="12"/>
    <col min="2282" max="2282" width="38.33203125" style="12" customWidth="1"/>
    <col min="2283" max="2283" width="9.6640625" style="12" customWidth="1"/>
    <col min="2284" max="2286" width="8.33203125" style="12" customWidth="1"/>
    <col min="2287" max="2287" width="7.44140625" style="12" customWidth="1"/>
    <col min="2288" max="2288" width="8.6640625" style="12" customWidth="1"/>
    <col min="2289" max="2537" width="8.6640625" style="12"/>
    <col min="2538" max="2538" width="38.33203125" style="12" customWidth="1"/>
    <col min="2539" max="2539" width="9.6640625" style="12" customWidth="1"/>
    <col min="2540" max="2542" width="8.33203125" style="12" customWidth="1"/>
    <col min="2543" max="2543" width="7.44140625" style="12" customWidth="1"/>
    <col min="2544" max="2544" width="8.6640625" style="12" customWidth="1"/>
    <col min="2545" max="2793" width="8.6640625" style="12"/>
    <col min="2794" max="2794" width="38.33203125" style="12" customWidth="1"/>
    <col min="2795" max="2795" width="9.6640625" style="12" customWidth="1"/>
    <col min="2796" max="2798" width="8.33203125" style="12" customWidth="1"/>
    <col min="2799" max="2799" width="7.44140625" style="12" customWidth="1"/>
    <col min="2800" max="2800" width="8.6640625" style="12" customWidth="1"/>
    <col min="2801" max="3049" width="8.6640625" style="12"/>
    <col min="3050" max="3050" width="38.33203125" style="12" customWidth="1"/>
    <col min="3051" max="3051" width="9.6640625" style="12" customWidth="1"/>
    <col min="3052" max="3054" width="8.33203125" style="12" customWidth="1"/>
    <col min="3055" max="3055" width="7.44140625" style="12" customWidth="1"/>
    <col min="3056" max="3056" width="8.6640625" style="12" customWidth="1"/>
    <col min="3057" max="3305" width="8.6640625" style="12"/>
    <col min="3306" max="3306" width="38.33203125" style="12" customWidth="1"/>
    <col min="3307" max="3307" width="9.6640625" style="12" customWidth="1"/>
    <col min="3308" max="3310" width="8.33203125" style="12" customWidth="1"/>
    <col min="3311" max="3311" width="7.44140625" style="12" customWidth="1"/>
    <col min="3312" max="3312" width="8.6640625" style="12" customWidth="1"/>
    <col min="3313" max="3561" width="8.6640625" style="12"/>
    <col min="3562" max="3562" width="38.33203125" style="12" customWidth="1"/>
    <col min="3563" max="3563" width="9.6640625" style="12" customWidth="1"/>
    <col min="3564" max="3566" width="8.33203125" style="12" customWidth="1"/>
    <col min="3567" max="3567" width="7.44140625" style="12" customWidth="1"/>
    <col min="3568" max="3568" width="8.6640625" style="12" customWidth="1"/>
    <col min="3569" max="3817" width="8.6640625" style="12"/>
    <col min="3818" max="3818" width="38.33203125" style="12" customWidth="1"/>
    <col min="3819" max="3819" width="9.6640625" style="12" customWidth="1"/>
    <col min="3820" max="3822" width="8.33203125" style="12" customWidth="1"/>
    <col min="3823" max="3823" width="7.44140625" style="12" customWidth="1"/>
    <col min="3824" max="3824" width="8.6640625" style="12" customWidth="1"/>
    <col min="3825" max="4073" width="8.6640625" style="12"/>
    <col min="4074" max="4074" width="38.33203125" style="12" customWidth="1"/>
    <col min="4075" max="4075" width="9.6640625" style="12" customWidth="1"/>
    <col min="4076" max="4078" width="8.33203125" style="12" customWidth="1"/>
    <col min="4079" max="4079" width="7.44140625" style="12" customWidth="1"/>
    <col min="4080" max="4080" width="8.6640625" style="12" customWidth="1"/>
    <col min="4081" max="4329" width="8.6640625" style="12"/>
    <col min="4330" max="4330" width="38.33203125" style="12" customWidth="1"/>
    <col min="4331" max="4331" width="9.6640625" style="12" customWidth="1"/>
    <col min="4332" max="4334" width="8.33203125" style="12" customWidth="1"/>
    <col min="4335" max="4335" width="7.44140625" style="12" customWidth="1"/>
    <col min="4336" max="4336" width="8.6640625" style="12" customWidth="1"/>
    <col min="4337" max="4585" width="8.6640625" style="12"/>
    <col min="4586" max="4586" width="38.33203125" style="12" customWidth="1"/>
    <col min="4587" max="4587" width="9.6640625" style="12" customWidth="1"/>
    <col min="4588" max="4590" width="8.33203125" style="12" customWidth="1"/>
    <col min="4591" max="4591" width="7.44140625" style="12" customWidth="1"/>
    <col min="4592" max="4592" width="8.6640625" style="12" customWidth="1"/>
    <col min="4593" max="4841" width="8.6640625" style="12"/>
    <col min="4842" max="4842" width="38.33203125" style="12" customWidth="1"/>
    <col min="4843" max="4843" width="9.6640625" style="12" customWidth="1"/>
    <col min="4844" max="4846" width="8.33203125" style="12" customWidth="1"/>
    <col min="4847" max="4847" width="7.44140625" style="12" customWidth="1"/>
    <col min="4848" max="4848" width="8.6640625" style="12" customWidth="1"/>
    <col min="4849" max="5097" width="8.6640625" style="12"/>
    <col min="5098" max="5098" width="38.33203125" style="12" customWidth="1"/>
    <col min="5099" max="5099" width="9.6640625" style="12" customWidth="1"/>
    <col min="5100" max="5102" width="8.33203125" style="12" customWidth="1"/>
    <col min="5103" max="5103" width="7.44140625" style="12" customWidth="1"/>
    <col min="5104" max="5104" width="8.6640625" style="12" customWidth="1"/>
    <col min="5105" max="5353" width="8.6640625" style="12"/>
    <col min="5354" max="5354" width="38.33203125" style="12" customWidth="1"/>
    <col min="5355" max="5355" width="9.6640625" style="12" customWidth="1"/>
    <col min="5356" max="5358" width="8.33203125" style="12" customWidth="1"/>
    <col min="5359" max="5359" width="7.44140625" style="12" customWidth="1"/>
    <col min="5360" max="5360" width="8.6640625" style="12" customWidth="1"/>
    <col min="5361" max="5609" width="8.6640625" style="12"/>
    <col min="5610" max="5610" width="38.33203125" style="12" customWidth="1"/>
    <col min="5611" max="5611" width="9.6640625" style="12" customWidth="1"/>
    <col min="5612" max="5614" width="8.33203125" style="12" customWidth="1"/>
    <col min="5615" max="5615" width="7.44140625" style="12" customWidth="1"/>
    <col min="5616" max="5616" width="8.6640625" style="12" customWidth="1"/>
    <col min="5617" max="5865" width="8.6640625" style="12"/>
    <col min="5866" max="5866" width="38.33203125" style="12" customWidth="1"/>
    <col min="5867" max="5867" width="9.6640625" style="12" customWidth="1"/>
    <col min="5868" max="5870" width="8.33203125" style="12" customWidth="1"/>
    <col min="5871" max="5871" width="7.44140625" style="12" customWidth="1"/>
    <col min="5872" max="5872" width="8.6640625" style="12" customWidth="1"/>
    <col min="5873" max="6121" width="8.6640625" style="12"/>
    <col min="6122" max="6122" width="38.33203125" style="12" customWidth="1"/>
    <col min="6123" max="6123" width="9.6640625" style="12" customWidth="1"/>
    <col min="6124" max="6126" width="8.33203125" style="12" customWidth="1"/>
    <col min="6127" max="6127" width="7.44140625" style="12" customWidth="1"/>
    <col min="6128" max="6128" width="8.6640625" style="12" customWidth="1"/>
    <col min="6129" max="6377" width="8.6640625" style="12"/>
    <col min="6378" max="6378" width="38.33203125" style="12" customWidth="1"/>
    <col min="6379" max="6379" width="9.6640625" style="12" customWidth="1"/>
    <col min="6380" max="6382" width="8.33203125" style="12" customWidth="1"/>
    <col min="6383" max="6383" width="7.44140625" style="12" customWidth="1"/>
    <col min="6384" max="6384" width="8.6640625" style="12" customWidth="1"/>
    <col min="6385" max="6633" width="8.6640625" style="12"/>
    <col min="6634" max="6634" width="38.33203125" style="12" customWidth="1"/>
    <col min="6635" max="6635" width="9.6640625" style="12" customWidth="1"/>
    <col min="6636" max="6638" width="8.33203125" style="12" customWidth="1"/>
    <col min="6639" max="6639" width="7.44140625" style="12" customWidth="1"/>
    <col min="6640" max="6640" width="8.6640625" style="12" customWidth="1"/>
    <col min="6641" max="6889" width="8.6640625" style="12"/>
    <col min="6890" max="6890" width="38.33203125" style="12" customWidth="1"/>
    <col min="6891" max="6891" width="9.6640625" style="12" customWidth="1"/>
    <col min="6892" max="6894" width="8.33203125" style="12" customWidth="1"/>
    <col min="6895" max="6895" width="7.44140625" style="12" customWidth="1"/>
    <col min="6896" max="6896" width="8.6640625" style="12" customWidth="1"/>
    <col min="6897" max="7145" width="8.6640625" style="12"/>
    <col min="7146" max="7146" width="38.33203125" style="12" customWidth="1"/>
    <col min="7147" max="7147" width="9.6640625" style="12" customWidth="1"/>
    <col min="7148" max="7150" width="8.33203125" style="12" customWidth="1"/>
    <col min="7151" max="7151" width="7.44140625" style="12" customWidth="1"/>
    <col min="7152" max="7152" width="8.6640625" style="12" customWidth="1"/>
    <col min="7153" max="7401" width="8.6640625" style="12"/>
    <col min="7402" max="7402" width="38.33203125" style="12" customWidth="1"/>
    <col min="7403" max="7403" width="9.6640625" style="12" customWidth="1"/>
    <col min="7404" max="7406" width="8.33203125" style="12" customWidth="1"/>
    <col min="7407" max="7407" width="7.44140625" style="12" customWidth="1"/>
    <col min="7408" max="7408" width="8.6640625" style="12" customWidth="1"/>
    <col min="7409" max="7657" width="8.6640625" style="12"/>
    <col min="7658" max="7658" width="38.33203125" style="12" customWidth="1"/>
    <col min="7659" max="7659" width="9.6640625" style="12" customWidth="1"/>
    <col min="7660" max="7662" width="8.33203125" style="12" customWidth="1"/>
    <col min="7663" max="7663" width="7.44140625" style="12" customWidth="1"/>
    <col min="7664" max="7664" width="8.6640625" style="12" customWidth="1"/>
    <col min="7665" max="7913" width="8.6640625" style="12"/>
    <col min="7914" max="7914" width="38.33203125" style="12" customWidth="1"/>
    <col min="7915" max="7915" width="9.6640625" style="12" customWidth="1"/>
    <col min="7916" max="7918" width="8.33203125" style="12" customWidth="1"/>
    <col min="7919" max="7919" width="7.44140625" style="12" customWidth="1"/>
    <col min="7920" max="7920" width="8.6640625" style="12" customWidth="1"/>
    <col min="7921" max="8169" width="8.6640625" style="12"/>
    <col min="8170" max="8170" width="38.33203125" style="12" customWidth="1"/>
    <col min="8171" max="8171" width="9.6640625" style="12" customWidth="1"/>
    <col min="8172" max="8174" width="8.33203125" style="12" customWidth="1"/>
    <col min="8175" max="8175" width="7.44140625" style="12" customWidth="1"/>
    <col min="8176" max="8176" width="8.6640625" style="12" customWidth="1"/>
    <col min="8177" max="8425" width="8.6640625" style="12"/>
    <col min="8426" max="8426" width="38.33203125" style="12" customWidth="1"/>
    <col min="8427" max="8427" width="9.6640625" style="12" customWidth="1"/>
    <col min="8428" max="8430" width="8.33203125" style="12" customWidth="1"/>
    <col min="8431" max="8431" width="7.44140625" style="12" customWidth="1"/>
    <col min="8432" max="8432" width="8.6640625" style="12" customWidth="1"/>
    <col min="8433" max="8681" width="8.6640625" style="12"/>
    <col min="8682" max="8682" width="38.33203125" style="12" customWidth="1"/>
    <col min="8683" max="8683" width="9.6640625" style="12" customWidth="1"/>
    <col min="8684" max="8686" width="8.33203125" style="12" customWidth="1"/>
    <col min="8687" max="8687" width="7.44140625" style="12" customWidth="1"/>
    <col min="8688" max="8688" width="8.6640625" style="12" customWidth="1"/>
    <col min="8689" max="8937" width="8.6640625" style="12"/>
    <col min="8938" max="8938" width="38.33203125" style="12" customWidth="1"/>
    <col min="8939" max="8939" width="9.6640625" style="12" customWidth="1"/>
    <col min="8940" max="8942" width="8.33203125" style="12" customWidth="1"/>
    <col min="8943" max="8943" width="7.44140625" style="12" customWidth="1"/>
    <col min="8944" max="8944" width="8.6640625" style="12" customWidth="1"/>
    <col min="8945" max="9193" width="8.6640625" style="12"/>
    <col min="9194" max="9194" width="38.33203125" style="12" customWidth="1"/>
    <col min="9195" max="9195" width="9.6640625" style="12" customWidth="1"/>
    <col min="9196" max="9198" width="8.33203125" style="12" customWidth="1"/>
    <col min="9199" max="9199" width="7.44140625" style="12" customWidth="1"/>
    <col min="9200" max="9200" width="8.6640625" style="12" customWidth="1"/>
    <col min="9201" max="9449" width="8.6640625" style="12"/>
    <col min="9450" max="9450" width="38.33203125" style="12" customWidth="1"/>
    <col min="9451" max="9451" width="9.6640625" style="12" customWidth="1"/>
    <col min="9452" max="9454" width="8.33203125" style="12" customWidth="1"/>
    <col min="9455" max="9455" width="7.44140625" style="12" customWidth="1"/>
    <col min="9456" max="9456" width="8.6640625" style="12" customWidth="1"/>
    <col min="9457" max="9705" width="8.6640625" style="12"/>
    <col min="9706" max="9706" width="38.33203125" style="12" customWidth="1"/>
    <col min="9707" max="9707" width="9.6640625" style="12" customWidth="1"/>
    <col min="9708" max="9710" width="8.33203125" style="12" customWidth="1"/>
    <col min="9711" max="9711" width="7.44140625" style="12" customWidth="1"/>
    <col min="9712" max="9712" width="8.6640625" style="12" customWidth="1"/>
    <col min="9713" max="9961" width="8.6640625" style="12"/>
    <col min="9962" max="9962" width="38.33203125" style="12" customWidth="1"/>
    <col min="9963" max="9963" width="9.6640625" style="12" customWidth="1"/>
    <col min="9964" max="9966" width="8.33203125" style="12" customWidth="1"/>
    <col min="9967" max="9967" width="7.44140625" style="12" customWidth="1"/>
    <col min="9968" max="9968" width="8.6640625" style="12" customWidth="1"/>
    <col min="9969" max="10217" width="8.6640625" style="12"/>
    <col min="10218" max="10218" width="38.33203125" style="12" customWidth="1"/>
    <col min="10219" max="10219" width="9.6640625" style="12" customWidth="1"/>
    <col min="10220" max="10222" width="8.33203125" style="12" customWidth="1"/>
    <col min="10223" max="10223" width="7.44140625" style="12" customWidth="1"/>
    <col min="10224" max="10224" width="8.6640625" style="12" customWidth="1"/>
    <col min="10225" max="10473" width="8.6640625" style="12"/>
    <col min="10474" max="10474" width="38.33203125" style="12" customWidth="1"/>
    <col min="10475" max="10475" width="9.6640625" style="12" customWidth="1"/>
    <col min="10476" max="10478" width="8.33203125" style="12" customWidth="1"/>
    <col min="10479" max="10479" width="7.44140625" style="12" customWidth="1"/>
    <col min="10480" max="10480" width="8.6640625" style="12" customWidth="1"/>
    <col min="10481" max="10729" width="8.6640625" style="12"/>
    <col min="10730" max="10730" width="38.33203125" style="12" customWidth="1"/>
    <col min="10731" max="10731" width="9.6640625" style="12" customWidth="1"/>
    <col min="10732" max="10734" width="8.33203125" style="12" customWidth="1"/>
    <col min="10735" max="10735" width="7.44140625" style="12" customWidth="1"/>
    <col min="10736" max="10736" width="8.6640625" style="12" customWidth="1"/>
    <col min="10737" max="10985" width="8.6640625" style="12"/>
    <col min="10986" max="10986" width="38.33203125" style="12" customWidth="1"/>
    <col min="10987" max="10987" width="9.6640625" style="12" customWidth="1"/>
    <col min="10988" max="10990" width="8.33203125" style="12" customWidth="1"/>
    <col min="10991" max="10991" width="7.44140625" style="12" customWidth="1"/>
    <col min="10992" max="10992" width="8.6640625" style="12" customWidth="1"/>
    <col min="10993" max="11241" width="8.6640625" style="12"/>
    <col min="11242" max="11242" width="38.33203125" style="12" customWidth="1"/>
    <col min="11243" max="11243" width="9.6640625" style="12" customWidth="1"/>
    <col min="11244" max="11246" width="8.33203125" style="12" customWidth="1"/>
    <col min="11247" max="11247" width="7.44140625" style="12" customWidth="1"/>
    <col min="11248" max="11248" width="8.6640625" style="12" customWidth="1"/>
    <col min="11249" max="11497" width="8.6640625" style="12"/>
    <col min="11498" max="11498" width="38.33203125" style="12" customWidth="1"/>
    <col min="11499" max="11499" width="9.6640625" style="12" customWidth="1"/>
    <col min="11500" max="11502" width="8.33203125" style="12" customWidth="1"/>
    <col min="11503" max="11503" width="7.44140625" style="12" customWidth="1"/>
    <col min="11504" max="11504" width="8.6640625" style="12" customWidth="1"/>
    <col min="11505" max="11753" width="8.6640625" style="12"/>
    <col min="11754" max="11754" width="38.33203125" style="12" customWidth="1"/>
    <col min="11755" max="11755" width="9.6640625" style="12" customWidth="1"/>
    <col min="11756" max="11758" width="8.33203125" style="12" customWidth="1"/>
    <col min="11759" max="11759" width="7.44140625" style="12" customWidth="1"/>
    <col min="11760" max="11760" width="8.6640625" style="12" customWidth="1"/>
    <col min="11761" max="12009" width="8.6640625" style="12"/>
    <col min="12010" max="12010" width="38.33203125" style="12" customWidth="1"/>
    <col min="12011" max="12011" width="9.6640625" style="12" customWidth="1"/>
    <col min="12012" max="12014" width="8.33203125" style="12" customWidth="1"/>
    <col min="12015" max="12015" width="7.44140625" style="12" customWidth="1"/>
    <col min="12016" max="12016" width="8.6640625" style="12" customWidth="1"/>
    <col min="12017" max="12265" width="8.6640625" style="12"/>
    <col min="12266" max="12266" width="38.33203125" style="12" customWidth="1"/>
    <col min="12267" max="12267" width="9.6640625" style="12" customWidth="1"/>
    <col min="12268" max="12270" width="8.33203125" style="12" customWidth="1"/>
    <col min="12271" max="12271" width="7.44140625" style="12" customWidth="1"/>
    <col min="12272" max="12272" width="8.6640625" style="12" customWidth="1"/>
    <col min="12273" max="12521" width="8.6640625" style="12"/>
    <col min="12522" max="12522" width="38.33203125" style="12" customWidth="1"/>
    <col min="12523" max="12523" width="9.6640625" style="12" customWidth="1"/>
    <col min="12524" max="12526" width="8.33203125" style="12" customWidth="1"/>
    <col min="12527" max="12527" width="7.44140625" style="12" customWidth="1"/>
    <col min="12528" max="12528" width="8.6640625" style="12" customWidth="1"/>
    <col min="12529" max="12777" width="8.6640625" style="12"/>
    <col min="12778" max="12778" width="38.33203125" style="12" customWidth="1"/>
    <col min="12779" max="12779" width="9.6640625" style="12" customWidth="1"/>
    <col min="12780" max="12782" width="8.33203125" style="12" customWidth="1"/>
    <col min="12783" max="12783" width="7.44140625" style="12" customWidth="1"/>
    <col min="12784" max="12784" width="8.6640625" style="12" customWidth="1"/>
    <col min="12785" max="13033" width="8.6640625" style="12"/>
    <col min="13034" max="13034" width="38.33203125" style="12" customWidth="1"/>
    <col min="13035" max="13035" width="9.6640625" style="12" customWidth="1"/>
    <col min="13036" max="13038" width="8.33203125" style="12" customWidth="1"/>
    <col min="13039" max="13039" width="7.44140625" style="12" customWidth="1"/>
    <col min="13040" max="13040" width="8.6640625" style="12" customWidth="1"/>
    <col min="13041" max="13289" width="8.6640625" style="12"/>
    <col min="13290" max="13290" width="38.33203125" style="12" customWidth="1"/>
    <col min="13291" max="13291" width="9.6640625" style="12" customWidth="1"/>
    <col min="13292" max="13294" width="8.33203125" style="12" customWidth="1"/>
    <col min="13295" max="13295" width="7.44140625" style="12" customWidth="1"/>
    <col min="13296" max="13296" width="8.6640625" style="12" customWidth="1"/>
    <col min="13297" max="13545" width="8.6640625" style="12"/>
    <col min="13546" max="13546" width="38.33203125" style="12" customWidth="1"/>
    <col min="13547" max="13547" width="9.6640625" style="12" customWidth="1"/>
    <col min="13548" max="13550" width="8.33203125" style="12" customWidth="1"/>
    <col min="13551" max="13551" width="7.44140625" style="12" customWidth="1"/>
    <col min="13552" max="13552" width="8.6640625" style="12" customWidth="1"/>
    <col min="13553" max="13801" width="8.6640625" style="12"/>
    <col min="13802" max="13802" width="38.33203125" style="12" customWidth="1"/>
    <col min="13803" max="13803" width="9.6640625" style="12" customWidth="1"/>
    <col min="13804" max="13806" width="8.33203125" style="12" customWidth="1"/>
    <col min="13807" max="13807" width="7.44140625" style="12" customWidth="1"/>
    <col min="13808" max="13808" width="8.6640625" style="12" customWidth="1"/>
    <col min="13809" max="14057" width="8.6640625" style="12"/>
    <col min="14058" max="14058" width="38.33203125" style="12" customWidth="1"/>
    <col min="14059" max="14059" width="9.6640625" style="12" customWidth="1"/>
    <col min="14060" max="14062" width="8.33203125" style="12" customWidth="1"/>
    <col min="14063" max="14063" width="7.44140625" style="12" customWidth="1"/>
    <col min="14064" max="14064" width="8.6640625" style="12" customWidth="1"/>
    <col min="14065" max="14313" width="8.6640625" style="12"/>
    <col min="14314" max="14314" width="38.33203125" style="12" customWidth="1"/>
    <col min="14315" max="14315" width="9.6640625" style="12" customWidth="1"/>
    <col min="14316" max="14318" width="8.33203125" style="12" customWidth="1"/>
    <col min="14319" max="14319" width="7.44140625" style="12" customWidth="1"/>
    <col min="14320" max="14320" width="8.6640625" style="12" customWidth="1"/>
    <col min="14321" max="14569" width="8.6640625" style="12"/>
    <col min="14570" max="14570" width="38.33203125" style="12" customWidth="1"/>
    <col min="14571" max="14571" width="9.6640625" style="12" customWidth="1"/>
    <col min="14572" max="14574" width="8.33203125" style="12" customWidth="1"/>
    <col min="14575" max="14575" width="7.44140625" style="12" customWidth="1"/>
    <col min="14576" max="14576" width="8.6640625" style="12" customWidth="1"/>
    <col min="14577" max="14825" width="8.6640625" style="12"/>
    <col min="14826" max="14826" width="38.33203125" style="12" customWidth="1"/>
    <col min="14827" max="14827" width="9.6640625" style="12" customWidth="1"/>
    <col min="14828" max="14830" width="8.33203125" style="12" customWidth="1"/>
    <col min="14831" max="14831" width="7.44140625" style="12" customWidth="1"/>
    <col min="14832" max="14832" width="8.6640625" style="12" customWidth="1"/>
    <col min="14833" max="15081" width="8.6640625" style="12"/>
    <col min="15082" max="15082" width="38.33203125" style="12" customWidth="1"/>
    <col min="15083" max="15083" width="9.6640625" style="12" customWidth="1"/>
    <col min="15084" max="15086" width="8.33203125" style="12" customWidth="1"/>
    <col min="15087" max="15087" width="7.44140625" style="12" customWidth="1"/>
    <col min="15088" max="15088" width="8.6640625" style="12" customWidth="1"/>
    <col min="15089" max="15337" width="8.6640625" style="12"/>
    <col min="15338" max="15338" width="38.33203125" style="12" customWidth="1"/>
    <col min="15339" max="15339" width="9.6640625" style="12" customWidth="1"/>
    <col min="15340" max="15342" width="8.33203125" style="12" customWidth="1"/>
    <col min="15343" max="15343" width="7.44140625" style="12" customWidth="1"/>
    <col min="15344" max="15344" width="8.6640625" style="12" customWidth="1"/>
    <col min="15345" max="15593" width="8.6640625" style="12"/>
    <col min="15594" max="15594" width="38.33203125" style="12" customWidth="1"/>
    <col min="15595" max="15595" width="9.6640625" style="12" customWidth="1"/>
    <col min="15596" max="15598" width="8.33203125" style="12" customWidth="1"/>
    <col min="15599" max="15599" width="7.44140625" style="12" customWidth="1"/>
    <col min="15600" max="15600" width="8.6640625" style="12" customWidth="1"/>
    <col min="15601" max="15849" width="8.6640625" style="12"/>
    <col min="15850" max="15850" width="38.33203125" style="12" customWidth="1"/>
    <col min="15851" max="15851" width="9.6640625" style="12" customWidth="1"/>
    <col min="15852" max="15854" width="8.33203125" style="12" customWidth="1"/>
    <col min="15855" max="15855" width="7.44140625" style="12" customWidth="1"/>
    <col min="15856" max="15856" width="8.6640625" style="12" customWidth="1"/>
    <col min="15857" max="16105" width="8.6640625" style="12"/>
    <col min="16106" max="16106" width="38.33203125" style="12" customWidth="1"/>
    <col min="16107" max="16107" width="9.6640625" style="12" customWidth="1"/>
    <col min="16108" max="16110" width="8.33203125" style="12" customWidth="1"/>
    <col min="16111" max="16111" width="7.44140625" style="12" customWidth="1"/>
    <col min="16112" max="16112" width="8.6640625" style="12" customWidth="1"/>
    <col min="16113" max="16384" width="8.6640625" style="12"/>
  </cols>
  <sheetData>
    <row r="1" spans="1:32" ht="13.95" customHeight="1" x14ac:dyDescent="0.3">
      <c r="A1" s="79" t="s">
        <v>85</v>
      </c>
    </row>
    <row r="2" spans="1:32" ht="13.95" customHeight="1" x14ac:dyDescent="0.3">
      <c r="A2" s="14" t="s">
        <v>105</v>
      </c>
    </row>
    <row r="4" spans="1:32" ht="13.95" customHeight="1" x14ac:dyDescent="0.3">
      <c r="A4" s="58" t="s">
        <v>90</v>
      </c>
      <c r="B4" s="59" t="s">
        <v>0</v>
      </c>
      <c r="C4" s="59" t="s">
        <v>1</v>
      </c>
      <c r="D4" s="59" t="s">
        <v>2</v>
      </c>
      <c r="E4" s="59" t="s">
        <v>3</v>
      </c>
      <c r="F4" s="59" t="s">
        <v>4</v>
      </c>
      <c r="G4" s="59" t="s">
        <v>5</v>
      </c>
      <c r="H4" s="59" t="s">
        <v>6</v>
      </c>
      <c r="I4" s="59" t="s">
        <v>7</v>
      </c>
      <c r="J4" s="59" t="s">
        <v>55</v>
      </c>
      <c r="K4" s="59" t="s">
        <v>56</v>
      </c>
      <c r="L4" s="59" t="s">
        <v>57</v>
      </c>
      <c r="M4" s="59" t="s">
        <v>58</v>
      </c>
      <c r="N4" s="59" t="s">
        <v>59</v>
      </c>
      <c r="O4" s="59" t="s">
        <v>61</v>
      </c>
      <c r="P4" s="59" t="s">
        <v>62</v>
      </c>
      <c r="Q4" s="59" t="s">
        <v>64</v>
      </c>
      <c r="R4" s="59" t="s">
        <v>65</v>
      </c>
      <c r="S4" s="59" t="s">
        <v>66</v>
      </c>
      <c r="T4" s="59" t="s">
        <v>67</v>
      </c>
      <c r="U4" s="59" t="s">
        <v>68</v>
      </c>
      <c r="V4" s="59" t="s">
        <v>70</v>
      </c>
      <c r="W4" s="59" t="s">
        <v>71</v>
      </c>
      <c r="X4" s="59" t="s">
        <v>72</v>
      </c>
      <c r="Y4" s="59" t="s">
        <v>79</v>
      </c>
      <c r="Z4" s="59" t="s">
        <v>81</v>
      </c>
      <c r="AA4" s="59" t="s">
        <v>86</v>
      </c>
      <c r="AB4" s="59" t="s">
        <v>88</v>
      </c>
      <c r="AC4" s="59" t="s">
        <v>91</v>
      </c>
      <c r="AD4" s="59" t="s">
        <v>92</v>
      </c>
      <c r="AE4" s="59" t="s">
        <v>96</v>
      </c>
      <c r="AF4" s="59" t="s">
        <v>97</v>
      </c>
    </row>
    <row r="5" spans="1:32" ht="13.95" customHeight="1" x14ac:dyDescent="0.3">
      <c r="A5" s="15" t="s">
        <v>39</v>
      </c>
      <c r="B5" s="8">
        <f>-6.3-10.7</f>
        <v>-17</v>
      </c>
      <c r="C5" s="8">
        <v>0.30000000000000071</v>
      </c>
      <c r="D5" s="8">
        <v>1.5999999999999996</v>
      </c>
      <c r="E5" s="8">
        <f t="shared" ref="E5:E8" si="0">+F5-B5-C5-D5</f>
        <v>2.9000000000000004</v>
      </c>
      <c r="F5" s="95">
        <v>-12.2</v>
      </c>
      <c r="G5" s="8">
        <v>17.7</v>
      </c>
      <c r="H5" s="8">
        <v>24.5</v>
      </c>
      <c r="I5" s="8">
        <v>-1.9</v>
      </c>
      <c r="J5" s="8">
        <f>+'Income statement'!J18</f>
        <v>48.499999999999993</v>
      </c>
      <c r="K5" s="95">
        <f t="shared" ref="K5:K8" si="1">+J5+I5+H5+G5</f>
        <v>88.8</v>
      </c>
      <c r="L5" s="21">
        <v>45.9</v>
      </c>
      <c r="M5" s="21">
        <v>-5.5000000000000018</v>
      </c>
      <c r="N5" s="21">
        <f>+'Income statement'!N18</f>
        <v>43.300000000000004</v>
      </c>
      <c r="O5" s="21">
        <f>+'Income statement'!O18</f>
        <v>0.10000000000000231</v>
      </c>
      <c r="P5" s="95">
        <f>+'Income statement'!P18</f>
        <v>83.80000000000004</v>
      </c>
      <c r="Q5" s="21">
        <f>+'Income statement'!Q18</f>
        <v>0.20000000000000728</v>
      </c>
      <c r="R5" s="21">
        <v>15.800000000000004</v>
      </c>
      <c r="S5" s="21">
        <v>17.5</v>
      </c>
      <c r="T5" s="21">
        <v>89</v>
      </c>
      <c r="U5" s="95">
        <f t="shared" ref="U5:U8" si="2">+Q5+R5+S5+T5</f>
        <v>122.50000000000001</v>
      </c>
      <c r="V5" s="21">
        <v>61.199999999999996</v>
      </c>
      <c r="W5" s="21">
        <v>30.8</v>
      </c>
      <c r="X5" s="21">
        <v>65.3</v>
      </c>
      <c r="Y5" s="8">
        <v>72.800000000000011</v>
      </c>
      <c r="Z5" s="95">
        <v>230.1</v>
      </c>
      <c r="AA5" s="8">
        <v>109.1</v>
      </c>
      <c r="AB5" s="8">
        <v>47.7</v>
      </c>
      <c r="AC5" s="8">
        <v>35.499999999999972</v>
      </c>
      <c r="AD5" s="8">
        <f>AE5-AC5-AB5-AA5</f>
        <v>-4.5999999999999801</v>
      </c>
      <c r="AE5" s="95">
        <v>187.7</v>
      </c>
      <c r="AF5" s="8">
        <v>54.4</v>
      </c>
    </row>
    <row r="6" spans="1:32" ht="13.95" customHeight="1" x14ac:dyDescent="0.3">
      <c r="A6" s="15" t="s">
        <v>75</v>
      </c>
      <c r="B6" s="8">
        <v>-6.1</v>
      </c>
      <c r="C6" s="8">
        <v>-5.5</v>
      </c>
      <c r="D6" s="8">
        <v>-7.9</v>
      </c>
      <c r="E6" s="8">
        <f>+F6-B6-C6-D6</f>
        <v>-7.2000000000000011</v>
      </c>
      <c r="F6" s="74">
        <v>-26.7</v>
      </c>
      <c r="G6" s="8">
        <v>-9.6</v>
      </c>
      <c r="H6" s="8">
        <v>-8.5</v>
      </c>
      <c r="I6" s="8">
        <v>-7.7</v>
      </c>
      <c r="J6" s="8">
        <v>-8.8000000000000007</v>
      </c>
      <c r="K6" s="74">
        <f>+J6+I6+H6+G6</f>
        <v>-34.6</v>
      </c>
      <c r="L6" s="8">
        <v>-9.8000000000000007</v>
      </c>
      <c r="M6" s="8">
        <v>-10.199999999999999</v>
      </c>
      <c r="N6" s="8">
        <v>-9</v>
      </c>
      <c r="O6" s="8">
        <v>-7.4</v>
      </c>
      <c r="P6" s="74">
        <v>-36.4</v>
      </c>
      <c r="Q6" s="8">
        <v>-4.7</v>
      </c>
      <c r="R6" s="8">
        <v>-9.8000000000000007</v>
      </c>
      <c r="S6" s="8">
        <v>-16.899999999999999</v>
      </c>
      <c r="T6" s="21">
        <v>-15.499999999999993</v>
      </c>
      <c r="U6" s="74">
        <f>+Q6+R6+S6+T6</f>
        <v>-46.899999999999991</v>
      </c>
      <c r="V6" s="21">
        <v>-16.3</v>
      </c>
      <c r="W6" s="21">
        <v>-17.5</v>
      </c>
      <c r="X6" s="21">
        <v>-20.8</v>
      </c>
      <c r="Y6" s="8">
        <v>-22.2</v>
      </c>
      <c r="Z6" s="74">
        <v>-76.8</v>
      </c>
      <c r="AA6" s="8">
        <v>-26.6</v>
      </c>
      <c r="AB6" s="8">
        <v>-22.1</v>
      </c>
      <c r="AC6" s="8">
        <v>-16</v>
      </c>
      <c r="AD6" s="8">
        <f t="shared" ref="AD6:AD37" si="3">AE6-AC6-AB6-AA6</f>
        <v>-10.599999999999994</v>
      </c>
      <c r="AE6" s="74">
        <v>-75.3</v>
      </c>
      <c r="AF6" s="8">
        <v>-15.7</v>
      </c>
    </row>
    <row r="7" spans="1:32" ht="13.95" customHeight="1" x14ac:dyDescent="0.3">
      <c r="A7" s="15" t="s">
        <v>40</v>
      </c>
      <c r="B7" s="8">
        <v>14.4</v>
      </c>
      <c r="C7" s="8">
        <v>17.800000000000004</v>
      </c>
      <c r="D7" s="8">
        <v>17.799999999999997</v>
      </c>
      <c r="E7" s="8">
        <f t="shared" si="0"/>
        <v>20.900000000000006</v>
      </c>
      <c r="F7" s="95">
        <v>70.900000000000006</v>
      </c>
      <c r="G7" s="8">
        <v>15.8</v>
      </c>
      <c r="H7" s="8">
        <v>18.8</v>
      </c>
      <c r="I7" s="8">
        <v>7.4</v>
      </c>
      <c r="J7" s="8">
        <v>20.099999999999998</v>
      </c>
      <c r="K7" s="95">
        <v>62.099999999999994</v>
      </c>
      <c r="L7" s="21">
        <v>19.3</v>
      </c>
      <c r="M7" s="21">
        <v>9</v>
      </c>
      <c r="N7" s="21">
        <v>16.100000000000001</v>
      </c>
      <c r="O7" s="21">
        <v>15.7</v>
      </c>
      <c r="P7" s="95">
        <v>60.1</v>
      </c>
      <c r="Q7" s="21">
        <v>15</v>
      </c>
      <c r="R7" s="21">
        <v>17.899999999999999</v>
      </c>
      <c r="S7" s="21">
        <v>23.7</v>
      </c>
      <c r="T7" s="21">
        <v>42.899999999999991</v>
      </c>
      <c r="U7" s="95">
        <v>99.499999999999986</v>
      </c>
      <c r="V7" s="21">
        <v>36.9</v>
      </c>
      <c r="W7" s="21">
        <v>35.299999999999997</v>
      </c>
      <c r="X7" s="21">
        <v>51.6</v>
      </c>
      <c r="Y7" s="8">
        <v>57.100000000000016</v>
      </c>
      <c r="Z7" s="95">
        <v>180.9</v>
      </c>
      <c r="AA7" s="8">
        <v>64</v>
      </c>
      <c r="AB7" s="8">
        <v>46.1</v>
      </c>
      <c r="AC7" s="8">
        <v>51.800000000000011</v>
      </c>
      <c r="AD7" s="8">
        <f t="shared" si="3"/>
        <v>35.799999999999983</v>
      </c>
      <c r="AE7" s="95">
        <v>197.7</v>
      </c>
      <c r="AF7" s="8">
        <v>48.9</v>
      </c>
    </row>
    <row r="8" spans="1:32" ht="13.95" hidden="1" customHeight="1" x14ac:dyDescent="0.3">
      <c r="A8" s="15" t="s">
        <v>9</v>
      </c>
      <c r="B8" s="8">
        <v>10.7</v>
      </c>
      <c r="C8" s="8">
        <v>0</v>
      </c>
      <c r="D8" s="8">
        <v>0</v>
      </c>
      <c r="E8" s="8">
        <f t="shared" si="0"/>
        <v>2.5</v>
      </c>
      <c r="F8" s="95">
        <v>13.2</v>
      </c>
      <c r="G8" s="21">
        <v>0</v>
      </c>
      <c r="H8" s="21">
        <v>0</v>
      </c>
      <c r="I8" s="21">
        <v>0</v>
      </c>
      <c r="J8" s="21">
        <v>-13.3</v>
      </c>
      <c r="K8" s="95">
        <f t="shared" si="1"/>
        <v>-13.3</v>
      </c>
      <c r="L8" s="21">
        <v>0</v>
      </c>
      <c r="M8" s="21">
        <v>0</v>
      </c>
      <c r="N8" s="21">
        <v>0</v>
      </c>
      <c r="O8" s="21">
        <v>0</v>
      </c>
      <c r="P8" s="95">
        <f t="shared" ref="P8" si="4">+L8+M8+N8+O8</f>
        <v>0</v>
      </c>
      <c r="Q8" s="21">
        <v>0</v>
      </c>
      <c r="R8" s="21">
        <v>0</v>
      </c>
      <c r="S8" s="21">
        <v>0</v>
      </c>
      <c r="T8" s="21">
        <v>0.4</v>
      </c>
      <c r="U8" s="95">
        <f t="shared" si="2"/>
        <v>0.4</v>
      </c>
      <c r="V8" s="21">
        <v>0</v>
      </c>
      <c r="W8" s="21">
        <v>0</v>
      </c>
      <c r="X8" s="21">
        <v>0</v>
      </c>
      <c r="Y8" s="8">
        <v>0</v>
      </c>
      <c r="Z8" s="95">
        <v>0</v>
      </c>
      <c r="AA8" s="8">
        <v>0</v>
      </c>
      <c r="AB8" s="8"/>
      <c r="AC8" s="8">
        <v>0</v>
      </c>
      <c r="AD8" s="8">
        <f t="shared" si="3"/>
        <v>0</v>
      </c>
      <c r="AE8" s="95">
        <v>0</v>
      </c>
      <c r="AF8" s="8"/>
    </row>
    <row r="9" spans="1:32" ht="13.95" customHeight="1" x14ac:dyDescent="0.3">
      <c r="A9" s="15" t="s">
        <v>80</v>
      </c>
      <c r="B9" s="8">
        <v>0.1</v>
      </c>
      <c r="C9" s="8">
        <v>0.19999999999999998</v>
      </c>
      <c r="D9" s="8">
        <v>0.10000000000000006</v>
      </c>
      <c r="E9" s="8">
        <f>+F9-B9-C9-D9</f>
        <v>9.9999999999999978E-2</v>
      </c>
      <c r="F9" s="95">
        <v>0.5</v>
      </c>
      <c r="G9" s="21">
        <v>0.1</v>
      </c>
      <c r="H9" s="21">
        <v>0.2</v>
      </c>
      <c r="I9" s="21">
        <v>0.2</v>
      </c>
      <c r="J9" s="21">
        <v>0.2</v>
      </c>
      <c r="K9" s="95">
        <f t="shared" ref="K9:K17" si="5">+J9+I9+H9+G9</f>
        <v>0.70000000000000007</v>
      </c>
      <c r="L9" s="21">
        <v>0.2</v>
      </c>
      <c r="M9" s="21">
        <v>0.2</v>
      </c>
      <c r="N9" s="21">
        <v>0.2</v>
      </c>
      <c r="O9" s="21">
        <v>0.9</v>
      </c>
      <c r="P9" s="95">
        <v>1.5</v>
      </c>
      <c r="Q9" s="21">
        <v>0.4</v>
      </c>
      <c r="R9" s="21">
        <v>1.1000000000000001</v>
      </c>
      <c r="S9" s="21">
        <v>0.8</v>
      </c>
      <c r="T9" s="21">
        <v>2.9</v>
      </c>
      <c r="U9" s="95">
        <v>5.2</v>
      </c>
      <c r="V9" s="21">
        <v>2.5</v>
      </c>
      <c r="W9" s="21">
        <v>2</v>
      </c>
      <c r="X9" s="21">
        <v>2.1</v>
      </c>
      <c r="Y9" s="8">
        <v>4.4000000000000004</v>
      </c>
      <c r="Z9" s="95">
        <v>11</v>
      </c>
      <c r="AA9" s="8">
        <v>2.1</v>
      </c>
      <c r="AB9" s="8">
        <v>2.6</v>
      </c>
      <c r="AC9" s="8">
        <v>2.9</v>
      </c>
      <c r="AD9" s="8">
        <f t="shared" si="3"/>
        <v>2.8000000000000003</v>
      </c>
      <c r="AE9" s="95">
        <v>10.4</v>
      </c>
      <c r="AF9" s="8">
        <v>2.8</v>
      </c>
    </row>
    <row r="10" spans="1:32" ht="13.95" customHeight="1" x14ac:dyDescent="0.3">
      <c r="A10" s="15" t="s">
        <v>74</v>
      </c>
      <c r="B10" s="8">
        <v>-0.4</v>
      </c>
      <c r="C10" s="8">
        <v>-0.19999999999999996</v>
      </c>
      <c r="D10" s="8">
        <v>-9.9999999999999978E-2</v>
      </c>
      <c r="E10" s="8">
        <f>+F10-B10-C10-D10</f>
        <v>-0.20000000000000007</v>
      </c>
      <c r="F10" s="74">
        <v>-0.9</v>
      </c>
      <c r="G10" s="8">
        <v>-0.2</v>
      </c>
      <c r="H10" s="8">
        <v>-0.2</v>
      </c>
      <c r="I10" s="8">
        <v>-0.2</v>
      </c>
      <c r="J10" s="8">
        <v>-0.1</v>
      </c>
      <c r="K10" s="74">
        <f t="shared" si="5"/>
        <v>-0.7</v>
      </c>
      <c r="L10" s="8">
        <v>-0.1</v>
      </c>
      <c r="M10" s="8">
        <v>-0.1</v>
      </c>
      <c r="N10" s="8">
        <v>-0.3</v>
      </c>
      <c r="O10" s="8">
        <v>-0.7</v>
      </c>
      <c r="P10" s="74">
        <f>+L10+M10+N10+O10</f>
        <v>-1.2</v>
      </c>
      <c r="Q10" s="8">
        <v>0.1</v>
      </c>
      <c r="R10" s="8">
        <v>0.7</v>
      </c>
      <c r="S10" s="8">
        <v>2.5</v>
      </c>
      <c r="T10" s="21">
        <v>-6.5</v>
      </c>
      <c r="U10" s="74">
        <f>+Q10+R10+S10+T10</f>
        <v>-3.2</v>
      </c>
      <c r="V10" s="21">
        <v>1.4</v>
      </c>
      <c r="W10" s="21">
        <v>3.2</v>
      </c>
      <c r="X10" s="21">
        <v>5.9</v>
      </c>
      <c r="Y10" s="8">
        <v>12.100000000000003</v>
      </c>
      <c r="Z10" s="74">
        <v>22.6</v>
      </c>
      <c r="AA10" s="8">
        <v>5.4</v>
      </c>
      <c r="AB10" s="8">
        <v>-2</v>
      </c>
      <c r="AC10" s="8">
        <v>0.80000000000000027</v>
      </c>
      <c r="AD10" s="8">
        <f t="shared" si="3"/>
        <v>-2.8000000000000007</v>
      </c>
      <c r="AE10" s="74">
        <v>1.4</v>
      </c>
      <c r="AF10" s="8">
        <v>-3.2</v>
      </c>
    </row>
    <row r="11" spans="1:32" ht="13.95" customHeight="1" x14ac:dyDescent="0.3">
      <c r="A11" s="15" t="s">
        <v>76</v>
      </c>
      <c r="B11" s="8">
        <v>1.2</v>
      </c>
      <c r="C11" s="8">
        <v>-9.9999999999999867E-2</v>
      </c>
      <c r="D11" s="8">
        <v>-0.10000000000000009</v>
      </c>
      <c r="E11" s="8">
        <f>+F11-B11-C11-D11</f>
        <v>-0.4</v>
      </c>
      <c r="F11" s="95">
        <v>0.6</v>
      </c>
      <c r="G11" s="21">
        <v>0.2</v>
      </c>
      <c r="H11" s="21">
        <v>-0.8</v>
      </c>
      <c r="I11" s="21">
        <v>0.2</v>
      </c>
      <c r="J11" s="21">
        <v>0.9</v>
      </c>
      <c r="K11" s="95">
        <f t="shared" si="5"/>
        <v>0.5</v>
      </c>
      <c r="L11" s="21">
        <v>0.1</v>
      </c>
      <c r="M11" s="21">
        <v>1.1000000000000001</v>
      </c>
      <c r="N11" s="21">
        <v>1.5</v>
      </c>
      <c r="O11" s="21">
        <v>-0.6</v>
      </c>
      <c r="P11" s="95">
        <v>2.1</v>
      </c>
      <c r="Q11" s="21">
        <v>-0.3</v>
      </c>
      <c r="R11" s="21">
        <v>-1.1000000000000001</v>
      </c>
      <c r="S11" s="21">
        <v>1.1000000000000001</v>
      </c>
      <c r="T11" s="21">
        <v>0.30000000000000004</v>
      </c>
      <c r="U11" s="95">
        <f>+Q11+R11+S11+T11</f>
        <v>0</v>
      </c>
      <c r="V11" s="21">
        <v>1.3</v>
      </c>
      <c r="W11" s="21">
        <v>3.3</v>
      </c>
      <c r="X11" s="21">
        <v>-1.3</v>
      </c>
      <c r="Y11" s="8">
        <v>-0.59999999999999987</v>
      </c>
      <c r="Z11" s="95">
        <v>2.7</v>
      </c>
      <c r="AA11" s="8">
        <v>-2.4</v>
      </c>
      <c r="AB11" s="8">
        <v>-4.8</v>
      </c>
      <c r="AC11" s="8">
        <v>1.5000000000000004</v>
      </c>
      <c r="AD11" s="8">
        <f t="shared" si="3"/>
        <v>-1.2000000000000006</v>
      </c>
      <c r="AE11" s="95">
        <v>-6.9</v>
      </c>
      <c r="AF11" s="8">
        <v>-0.9</v>
      </c>
    </row>
    <row r="12" spans="1:32" ht="13.95" customHeight="1" x14ac:dyDescent="0.3">
      <c r="A12" s="15" t="s">
        <v>77</v>
      </c>
      <c r="B12" s="8">
        <v>1.4</v>
      </c>
      <c r="C12" s="8">
        <v>0.60000000000000009</v>
      </c>
      <c r="D12" s="8">
        <v>-0.30000000000000004</v>
      </c>
      <c r="E12" s="8">
        <f>+F12-B12-C12-D12</f>
        <v>-1.3</v>
      </c>
      <c r="F12" s="95">
        <v>0.4</v>
      </c>
      <c r="G12" s="8">
        <v>-3.3</v>
      </c>
      <c r="H12" s="8">
        <v>1.4</v>
      </c>
      <c r="I12" s="8">
        <v>-0.5</v>
      </c>
      <c r="J12" s="8">
        <v>-0.1</v>
      </c>
      <c r="K12" s="95">
        <f t="shared" si="5"/>
        <v>-2.5</v>
      </c>
      <c r="L12" s="21">
        <v>19.2</v>
      </c>
      <c r="M12" s="21">
        <v>-9.1</v>
      </c>
      <c r="N12" s="21">
        <v>-13.9</v>
      </c>
      <c r="O12" s="21">
        <v>2.2999999999999998</v>
      </c>
      <c r="P12" s="95">
        <f>+L12+M12+N12+O12</f>
        <v>-1.5000000000000009</v>
      </c>
      <c r="Q12" s="21">
        <v>-4.0999999999999996</v>
      </c>
      <c r="R12" s="21">
        <v>6.4</v>
      </c>
      <c r="S12" s="21">
        <v>8.3000000000000007</v>
      </c>
      <c r="T12" s="21">
        <v>-7.3000000000000016</v>
      </c>
      <c r="U12" s="95">
        <f>+Q12+R12+S12+T12</f>
        <v>3.3</v>
      </c>
      <c r="V12" s="21">
        <v>1.5</v>
      </c>
      <c r="W12" s="21">
        <v>1.5</v>
      </c>
      <c r="X12" s="21">
        <v>-7.4</v>
      </c>
      <c r="Y12" s="8">
        <v>2.5</v>
      </c>
      <c r="Z12" s="95">
        <v>-1.9000000000000004</v>
      </c>
      <c r="AA12" s="8">
        <v>2.5</v>
      </c>
      <c r="AB12" s="8">
        <v>-4.5999999999999996</v>
      </c>
      <c r="AC12" s="8">
        <v>2.9999999999999996</v>
      </c>
      <c r="AD12" s="8">
        <f t="shared" si="3"/>
        <v>-3.9000000000000004</v>
      </c>
      <c r="AE12" s="95">
        <v>-3</v>
      </c>
      <c r="AF12" s="8">
        <v>-1.2</v>
      </c>
    </row>
    <row r="13" spans="1:32" ht="13.95" customHeight="1" x14ac:dyDescent="0.3">
      <c r="A13" s="15" t="s">
        <v>42</v>
      </c>
      <c r="B13" s="8">
        <v>0</v>
      </c>
      <c r="C13" s="8">
        <v>0</v>
      </c>
      <c r="D13" s="8">
        <v>0</v>
      </c>
      <c r="E13" s="8">
        <v>0</v>
      </c>
      <c r="F13" s="74">
        <v>0</v>
      </c>
      <c r="G13" s="8">
        <v>0</v>
      </c>
      <c r="H13" s="8">
        <v>0</v>
      </c>
      <c r="I13" s="8">
        <v>0.2</v>
      </c>
      <c r="J13" s="8">
        <v>0.2</v>
      </c>
      <c r="K13" s="74">
        <f t="shared" si="5"/>
        <v>0.4</v>
      </c>
      <c r="L13" s="8">
        <v>0.2</v>
      </c>
      <c r="M13" s="8">
        <v>0.3</v>
      </c>
      <c r="N13" s="8">
        <v>0.3</v>
      </c>
      <c r="O13" s="8">
        <v>0.3</v>
      </c>
      <c r="P13" s="74">
        <f>+L13+M13+N13+O13</f>
        <v>1.1000000000000001</v>
      </c>
      <c r="Q13" s="8">
        <v>0.3</v>
      </c>
      <c r="R13" s="8">
        <v>0.3</v>
      </c>
      <c r="S13" s="8">
        <v>0.4</v>
      </c>
      <c r="T13" s="21">
        <v>0.29999999999999993</v>
      </c>
      <c r="U13" s="74">
        <f>+Q13+R13+S13+T13</f>
        <v>1.2999999999999998</v>
      </c>
      <c r="V13" s="21">
        <v>-0.1</v>
      </c>
      <c r="W13" s="21">
        <v>0.4</v>
      </c>
      <c r="X13" s="21">
        <v>0.3</v>
      </c>
      <c r="Y13" s="8">
        <v>0.89999999999999991</v>
      </c>
      <c r="Z13" s="74">
        <v>1.5</v>
      </c>
      <c r="AA13" s="8">
        <v>0.4</v>
      </c>
      <c r="AB13" s="8">
        <v>0.3</v>
      </c>
      <c r="AC13" s="8">
        <v>1.1000000000000001</v>
      </c>
      <c r="AD13" s="8">
        <f t="shared" si="3"/>
        <v>0.29999999999999993</v>
      </c>
      <c r="AE13" s="74">
        <v>2.1</v>
      </c>
      <c r="AF13" s="8">
        <v>1.5</v>
      </c>
    </row>
    <row r="14" spans="1:32" ht="13.95" customHeight="1" x14ac:dyDescent="0.3">
      <c r="A14" s="15" t="s">
        <v>89</v>
      </c>
      <c r="B14" s="8"/>
      <c r="C14" s="8"/>
      <c r="D14" s="8"/>
      <c r="E14" s="8"/>
      <c r="F14" s="74"/>
      <c r="G14" s="8"/>
      <c r="H14" s="8"/>
      <c r="I14" s="8"/>
      <c r="J14" s="8"/>
      <c r="K14" s="74"/>
      <c r="L14" s="8"/>
      <c r="M14" s="8"/>
      <c r="N14" s="8"/>
      <c r="O14" s="8"/>
      <c r="P14" s="74"/>
      <c r="Q14" s="8"/>
      <c r="R14" s="8"/>
      <c r="S14" s="8"/>
      <c r="T14" s="21"/>
      <c r="U14" s="74"/>
      <c r="V14" s="21">
        <v>0</v>
      </c>
      <c r="W14" s="21">
        <v>0</v>
      </c>
      <c r="X14" s="21">
        <v>0</v>
      </c>
      <c r="Y14" s="8">
        <v>0</v>
      </c>
      <c r="Z14" s="74">
        <v>0</v>
      </c>
      <c r="AA14" s="8">
        <v>0</v>
      </c>
      <c r="AB14" s="8">
        <v>4.8</v>
      </c>
      <c r="AC14" s="8">
        <v>0</v>
      </c>
      <c r="AD14" s="8">
        <f t="shared" si="3"/>
        <v>0</v>
      </c>
      <c r="AE14" s="74">
        <v>4.8</v>
      </c>
      <c r="AF14" s="8">
        <v>0</v>
      </c>
    </row>
    <row r="15" spans="1:32" ht="13.95" customHeight="1" x14ac:dyDescent="0.3">
      <c r="A15" s="15" t="s">
        <v>41</v>
      </c>
      <c r="B15" s="8">
        <v>1.2</v>
      </c>
      <c r="C15" s="8">
        <v>0</v>
      </c>
      <c r="D15" s="8">
        <v>0</v>
      </c>
      <c r="E15" s="8">
        <f>+F15-B15-C15-D15</f>
        <v>0</v>
      </c>
      <c r="F15" s="74">
        <v>1.2</v>
      </c>
      <c r="G15" s="8">
        <v>0</v>
      </c>
      <c r="H15" s="8">
        <v>0</v>
      </c>
      <c r="I15" s="8">
        <v>0</v>
      </c>
      <c r="J15" s="8">
        <v>0</v>
      </c>
      <c r="K15" s="74">
        <f t="shared" si="5"/>
        <v>0</v>
      </c>
      <c r="L15" s="8">
        <v>0</v>
      </c>
      <c r="M15" s="8">
        <v>0</v>
      </c>
      <c r="N15" s="8">
        <v>0</v>
      </c>
      <c r="O15" s="8">
        <v>0</v>
      </c>
      <c r="P15" s="74">
        <f>+L15+M15+N15+O15</f>
        <v>0</v>
      </c>
      <c r="Q15" s="8">
        <v>0</v>
      </c>
      <c r="R15" s="8">
        <v>0</v>
      </c>
      <c r="S15" s="8">
        <v>0</v>
      </c>
      <c r="T15" s="21">
        <v>0</v>
      </c>
      <c r="U15" s="74">
        <f>+Q15+R15+S15+T15</f>
        <v>0</v>
      </c>
      <c r="V15" s="21">
        <v>-0.2</v>
      </c>
      <c r="W15" s="21">
        <v>0</v>
      </c>
      <c r="X15" s="21">
        <v>0</v>
      </c>
      <c r="Y15" s="8">
        <v>0</v>
      </c>
      <c r="Z15" s="74">
        <v>-0.2</v>
      </c>
      <c r="AA15" s="8">
        <v>0</v>
      </c>
      <c r="AB15" s="8">
        <v>0</v>
      </c>
      <c r="AC15" s="8">
        <v>0</v>
      </c>
      <c r="AD15" s="8">
        <f t="shared" si="3"/>
        <v>0</v>
      </c>
      <c r="AE15" s="74">
        <v>0</v>
      </c>
      <c r="AF15" s="8">
        <v>0</v>
      </c>
    </row>
    <row r="16" spans="1:32" ht="13.8" x14ac:dyDescent="0.3">
      <c r="A16" s="15" t="s">
        <v>78</v>
      </c>
      <c r="B16" s="8">
        <v>44.3</v>
      </c>
      <c r="C16" s="8">
        <v>-36.599999999999994</v>
      </c>
      <c r="D16" s="8">
        <v>14.599999999999998</v>
      </c>
      <c r="E16" s="8">
        <f>+F16-B16-C16-D16</f>
        <v>-19.8</v>
      </c>
      <c r="F16" s="74">
        <v>2.5</v>
      </c>
      <c r="G16" s="8">
        <f>-8.9-0.1</f>
        <v>-9</v>
      </c>
      <c r="H16" s="8">
        <v>27.4</v>
      </c>
      <c r="I16" s="8">
        <v>23.8</v>
      </c>
      <c r="J16" s="8">
        <f>-35+0.3</f>
        <v>-34.700000000000003</v>
      </c>
      <c r="K16" s="74">
        <f t="shared" si="5"/>
        <v>7.4999999999999964</v>
      </c>
      <c r="L16" s="8">
        <v>-62.5</v>
      </c>
      <c r="M16" s="8">
        <v>86.8</v>
      </c>
      <c r="N16" s="8">
        <v>4</v>
      </c>
      <c r="O16" s="8">
        <v>30.7</v>
      </c>
      <c r="P16" s="74">
        <v>59</v>
      </c>
      <c r="Q16" s="8">
        <v>6.5</v>
      </c>
      <c r="R16" s="8">
        <v>26.6</v>
      </c>
      <c r="S16" s="8">
        <v>-27</v>
      </c>
      <c r="T16" s="21">
        <v>-7.2000000000000028</v>
      </c>
      <c r="U16" s="74">
        <v>-1.1000000000000001</v>
      </c>
      <c r="V16" s="21">
        <v>-66.400000000000006</v>
      </c>
      <c r="W16" s="21">
        <v>4.3</v>
      </c>
      <c r="X16" s="21">
        <v>49.2</v>
      </c>
      <c r="Y16" s="8">
        <v>-9.2999999999999972</v>
      </c>
      <c r="Z16" s="74">
        <v>-22.2</v>
      </c>
      <c r="AA16" s="8">
        <v>0.2</v>
      </c>
      <c r="AB16" s="8">
        <v>-60.7</v>
      </c>
      <c r="AC16" s="8">
        <v>8.8999999999999986</v>
      </c>
      <c r="AD16" s="8">
        <f t="shared" si="3"/>
        <v>47.7</v>
      </c>
      <c r="AE16" s="74">
        <v>-3.9</v>
      </c>
      <c r="AF16" s="8">
        <v>-125.1</v>
      </c>
    </row>
    <row r="17" spans="1:32" ht="13.95" customHeight="1" x14ac:dyDescent="0.3">
      <c r="A17" s="16" t="s">
        <v>114</v>
      </c>
      <c r="B17" s="40">
        <f>SUM(B5:B16)</f>
        <v>49.8</v>
      </c>
      <c r="C17" s="40">
        <v>-23.499999999999989</v>
      </c>
      <c r="D17" s="40">
        <v>25.699999999999996</v>
      </c>
      <c r="E17" s="34">
        <f t="shared" ref="E17:E38" si="6">+F17-B17-C17-D17</f>
        <v>-2.4999999999999964</v>
      </c>
      <c r="F17" s="96">
        <f>SUM(F5:F16)</f>
        <v>49.500000000000007</v>
      </c>
      <c r="G17" s="51">
        <f>SUM(G5:G16)</f>
        <v>11.7</v>
      </c>
      <c r="H17" s="51">
        <f>SUM(H5:H16)</f>
        <v>62.8</v>
      </c>
      <c r="I17" s="51">
        <f>SUM(I5:I16)</f>
        <v>21.5</v>
      </c>
      <c r="J17" s="51">
        <f>SUM(J5:J16)</f>
        <v>12.899999999999984</v>
      </c>
      <c r="K17" s="96">
        <f t="shared" si="5"/>
        <v>108.89999999999999</v>
      </c>
      <c r="L17" s="51">
        <v>12.500000000000011</v>
      </c>
      <c r="M17" s="51">
        <v>72.499999999999986</v>
      </c>
      <c r="N17" s="51">
        <f>SUM(N5:N16)</f>
        <v>42.20000000000001</v>
      </c>
      <c r="O17" s="51">
        <f>SUM(O5:O16)</f>
        <v>41.300000000000004</v>
      </c>
      <c r="P17" s="96">
        <f>SUM(P5:P16)</f>
        <v>168.50000000000003</v>
      </c>
      <c r="Q17" s="51">
        <f>SUM(Q5:Q16)</f>
        <v>13.400000000000006</v>
      </c>
      <c r="R17" s="51">
        <v>57.900000000000006</v>
      </c>
      <c r="S17" s="51">
        <v>10.399999999999999</v>
      </c>
      <c r="T17" s="51">
        <f>SUM(T5:T16)</f>
        <v>99.3</v>
      </c>
      <c r="U17" s="96">
        <f>SUM(U5:U16)</f>
        <v>181.00000000000006</v>
      </c>
      <c r="V17" s="51">
        <v>21.799999999999994</v>
      </c>
      <c r="W17" s="51">
        <v>63.3</v>
      </c>
      <c r="X17" s="51">
        <v>144.89999999999998</v>
      </c>
      <c r="Y17" s="34">
        <f t="shared" ref="Y17:AD17" si="7">SUM(Y5:Y16)</f>
        <v>117.70000000000005</v>
      </c>
      <c r="Z17" s="96">
        <f t="shared" si="7"/>
        <v>347.7000000000001</v>
      </c>
      <c r="AA17" s="34">
        <f t="shared" si="7"/>
        <v>154.69999999999999</v>
      </c>
      <c r="AB17" s="34">
        <f t="shared" si="7"/>
        <v>7.2999999999999972</v>
      </c>
      <c r="AC17" s="34">
        <f t="shared" si="7"/>
        <v>89.499999999999972</v>
      </c>
      <c r="AD17" s="34">
        <f t="shared" si="7"/>
        <v>63.500000000000014</v>
      </c>
      <c r="AE17" s="96">
        <f>SUM(AE5:AE16)</f>
        <v>315</v>
      </c>
      <c r="AF17" s="34">
        <f t="shared" ref="AF17" si="8">SUM(AF5:AF16)</f>
        <v>-38.500000000000014</v>
      </c>
    </row>
    <row r="18" spans="1:32" ht="13.95" customHeight="1" x14ac:dyDescent="0.3">
      <c r="A18" s="17"/>
      <c r="B18" s="41"/>
      <c r="C18" s="41"/>
      <c r="D18" s="41"/>
      <c r="E18" s="52"/>
      <c r="F18" s="97"/>
      <c r="G18" s="53"/>
      <c r="H18" s="53"/>
      <c r="I18" s="53"/>
      <c r="J18" s="53"/>
      <c r="K18" s="97"/>
      <c r="L18" s="53"/>
      <c r="M18" s="53"/>
      <c r="N18" s="53"/>
      <c r="O18" s="53"/>
      <c r="P18" s="97"/>
      <c r="Q18" s="53"/>
      <c r="R18" s="53"/>
      <c r="S18" s="53"/>
      <c r="T18" s="53"/>
      <c r="U18" s="97"/>
      <c r="V18" s="53"/>
      <c r="W18" s="53"/>
      <c r="X18" s="53"/>
      <c r="Y18" s="8"/>
      <c r="Z18" s="97"/>
      <c r="AA18" s="8"/>
      <c r="AB18" s="8"/>
      <c r="AC18" s="8"/>
      <c r="AD18" s="8">
        <f t="shared" si="3"/>
        <v>0</v>
      </c>
      <c r="AE18" s="97"/>
      <c r="AF18" s="8"/>
    </row>
    <row r="19" spans="1:32" ht="13.95" customHeight="1" x14ac:dyDescent="0.3">
      <c r="A19" s="15" t="s">
        <v>43</v>
      </c>
      <c r="B19" s="8">
        <v>-49.4</v>
      </c>
      <c r="C19" s="8">
        <v>-9.8000000000000043</v>
      </c>
      <c r="D19" s="8">
        <v>-0.79999999999999716</v>
      </c>
      <c r="E19" s="8">
        <f t="shared" si="6"/>
        <v>-14.5</v>
      </c>
      <c r="F19" s="74">
        <f>-49.6-24.9</f>
        <v>-74.5</v>
      </c>
      <c r="G19" s="8">
        <v>-13.4</v>
      </c>
      <c r="H19" s="8">
        <v>-23.3</v>
      </c>
      <c r="I19" s="8">
        <v>-59.7</v>
      </c>
      <c r="J19" s="8">
        <f>-40.7-80.5+96.4</f>
        <v>-24.799999999999997</v>
      </c>
      <c r="K19" s="74">
        <f>+J19+I19+H19+G19</f>
        <v>-121.2</v>
      </c>
      <c r="L19" s="8">
        <v>-44.8</v>
      </c>
      <c r="M19" s="8">
        <v>-52.1</v>
      </c>
      <c r="N19" s="8">
        <v>-65.400000000000006</v>
      </c>
      <c r="O19" s="8">
        <v>-77.599999999999994</v>
      </c>
      <c r="P19" s="74">
        <f>+L19+M19+N19+O19</f>
        <v>-239.9</v>
      </c>
      <c r="Q19" s="8">
        <v>-75.099999999999994</v>
      </c>
      <c r="R19" s="8">
        <v>-77.5</v>
      </c>
      <c r="S19" s="8">
        <v>-104.5</v>
      </c>
      <c r="T19" s="8">
        <v>-77.899999999999977</v>
      </c>
      <c r="U19" s="74">
        <v>-335</v>
      </c>
      <c r="V19" s="8">
        <v>-82.3</v>
      </c>
      <c r="W19" s="8">
        <v>-89.2</v>
      </c>
      <c r="X19" s="8">
        <v>-88.3</v>
      </c>
      <c r="Y19" s="8">
        <v>-81.500000000000014</v>
      </c>
      <c r="Z19" s="74">
        <v>-341.3</v>
      </c>
      <c r="AA19" s="8">
        <v>-85.3</v>
      </c>
      <c r="AB19" s="8">
        <v>-94.7</v>
      </c>
      <c r="AC19" s="8">
        <v>-123.60000000000001</v>
      </c>
      <c r="AD19" s="8">
        <f t="shared" si="3"/>
        <v>-141.69999999999999</v>
      </c>
      <c r="AE19" s="74">
        <v>-445.3</v>
      </c>
      <c r="AF19" s="8">
        <v>-127.3</v>
      </c>
    </row>
    <row r="20" spans="1:32" ht="13.95" hidden="1" customHeight="1" x14ac:dyDescent="0.3">
      <c r="A20" s="15" t="s">
        <v>44</v>
      </c>
      <c r="B20" s="8">
        <v>0</v>
      </c>
      <c r="C20" s="8">
        <v>0</v>
      </c>
      <c r="D20" s="8">
        <v>0</v>
      </c>
      <c r="E20" s="8">
        <f t="shared" si="6"/>
        <v>0</v>
      </c>
      <c r="F20" s="74">
        <v>0</v>
      </c>
      <c r="G20" s="8">
        <v>0</v>
      </c>
      <c r="H20" s="8">
        <v>0</v>
      </c>
      <c r="I20" s="8">
        <v>0</v>
      </c>
      <c r="J20" s="8">
        <v>0</v>
      </c>
      <c r="K20" s="74">
        <f>+J20+I20+H20+G20</f>
        <v>0</v>
      </c>
      <c r="L20" s="8">
        <v>0</v>
      </c>
      <c r="M20" s="8">
        <v>0</v>
      </c>
      <c r="N20" s="8">
        <v>0</v>
      </c>
      <c r="O20" s="8">
        <v>0</v>
      </c>
      <c r="P20" s="74">
        <f>+L20+M20+N20+O20</f>
        <v>0</v>
      </c>
      <c r="Q20" s="8">
        <v>0</v>
      </c>
      <c r="R20" s="8">
        <v>0</v>
      </c>
      <c r="S20" s="8"/>
      <c r="T20" s="8"/>
      <c r="U20" s="74">
        <f t="shared" ref="U20:U25" si="9">+Q20+R20+S20+T20</f>
        <v>0</v>
      </c>
      <c r="V20" s="8">
        <v>0</v>
      </c>
      <c r="W20" s="8">
        <v>0</v>
      </c>
      <c r="X20" s="8">
        <v>0</v>
      </c>
      <c r="Y20" s="8">
        <v>0</v>
      </c>
      <c r="Z20" s="74">
        <v>0</v>
      </c>
      <c r="AA20" s="8"/>
      <c r="AB20" s="8"/>
      <c r="AC20" s="8"/>
      <c r="AD20" s="8">
        <f t="shared" si="3"/>
        <v>0</v>
      </c>
      <c r="AE20" s="74">
        <v>0</v>
      </c>
      <c r="AF20" s="8"/>
    </row>
    <row r="21" spans="1:32" ht="13.95" customHeight="1" x14ac:dyDescent="0.3">
      <c r="A21" s="15" t="s">
        <v>94</v>
      </c>
      <c r="B21" s="8"/>
      <c r="C21" s="8"/>
      <c r="D21" s="8"/>
      <c r="E21" s="8"/>
      <c r="F21" s="74"/>
      <c r="G21" s="8"/>
      <c r="H21" s="8"/>
      <c r="I21" s="8"/>
      <c r="J21" s="8"/>
      <c r="K21" s="74"/>
      <c r="L21" s="8"/>
      <c r="M21" s="8"/>
      <c r="N21" s="8"/>
      <c r="O21" s="8"/>
      <c r="P21" s="74"/>
      <c r="Q21" s="8"/>
      <c r="R21" s="8"/>
      <c r="S21" s="8"/>
      <c r="T21" s="8"/>
      <c r="U21" s="74"/>
      <c r="V21" s="8">
        <v>0</v>
      </c>
      <c r="W21" s="8">
        <v>-39.700000000000003</v>
      </c>
      <c r="X21" s="8">
        <v>0</v>
      </c>
      <c r="Y21" s="8">
        <v>0</v>
      </c>
      <c r="Z21" s="74">
        <v>-39.700000000000003</v>
      </c>
      <c r="AA21" s="8">
        <v>0</v>
      </c>
      <c r="AB21" s="8">
        <v>0</v>
      </c>
      <c r="AC21" s="8">
        <v>0</v>
      </c>
      <c r="AD21" s="8">
        <f t="shared" si="3"/>
        <v>0</v>
      </c>
      <c r="AE21" s="74">
        <v>0</v>
      </c>
      <c r="AF21" s="8">
        <v>0</v>
      </c>
    </row>
    <row r="22" spans="1:32" ht="13.95" customHeight="1" x14ac:dyDescent="0.3">
      <c r="A22" s="15" t="s">
        <v>95</v>
      </c>
      <c r="B22" s="41"/>
      <c r="C22" s="41"/>
      <c r="D22" s="41"/>
      <c r="E22" s="52"/>
      <c r="F22" s="97"/>
      <c r="G22" s="53">
        <v>0</v>
      </c>
      <c r="H22" s="53">
        <v>0</v>
      </c>
      <c r="I22" s="53">
        <v>0</v>
      </c>
      <c r="J22" s="53">
        <v>0</v>
      </c>
      <c r="K22" s="97">
        <v>0</v>
      </c>
      <c r="L22" s="53">
        <v>0</v>
      </c>
      <c r="M22" s="53">
        <v>0</v>
      </c>
      <c r="N22" s="53">
        <v>0</v>
      </c>
      <c r="O22" s="53">
        <v>0</v>
      </c>
      <c r="P22" s="97">
        <v>0</v>
      </c>
      <c r="Q22" s="53">
        <v>0</v>
      </c>
      <c r="R22" s="53">
        <v>0</v>
      </c>
      <c r="S22" s="53">
        <v>0</v>
      </c>
      <c r="T22" s="53">
        <v>0</v>
      </c>
      <c r="U22" s="97">
        <v>0</v>
      </c>
      <c r="V22" s="53">
        <v>0</v>
      </c>
      <c r="W22" s="8">
        <v>1.2</v>
      </c>
      <c r="X22" s="8">
        <v>1</v>
      </c>
      <c r="Y22" s="8">
        <v>1.0000000000000002</v>
      </c>
      <c r="Z22" s="97">
        <v>3.2</v>
      </c>
      <c r="AA22" s="8">
        <v>1</v>
      </c>
      <c r="AB22" s="8">
        <v>1</v>
      </c>
      <c r="AC22" s="8">
        <v>1</v>
      </c>
      <c r="AD22" s="8">
        <f t="shared" si="3"/>
        <v>1</v>
      </c>
      <c r="AE22" s="97">
        <v>4</v>
      </c>
      <c r="AF22" s="8">
        <v>1</v>
      </c>
    </row>
    <row r="23" spans="1:32" ht="13.95" customHeight="1" x14ac:dyDescent="0.3">
      <c r="A23" s="18" t="s">
        <v>73</v>
      </c>
      <c r="B23" s="41"/>
      <c r="C23" s="41"/>
      <c r="D23" s="41"/>
      <c r="E23" s="52"/>
      <c r="F23" s="97"/>
      <c r="G23" s="53"/>
      <c r="H23" s="53"/>
      <c r="I23" s="53"/>
      <c r="J23" s="53"/>
      <c r="K23" s="97"/>
      <c r="L23" s="53"/>
      <c r="M23" s="53"/>
      <c r="N23" s="53"/>
      <c r="O23" s="53"/>
      <c r="P23" s="97"/>
      <c r="Q23" s="53"/>
      <c r="R23" s="53"/>
      <c r="S23" s="53"/>
      <c r="T23" s="53"/>
      <c r="U23" s="97"/>
      <c r="V23" s="53"/>
      <c r="W23" s="8"/>
      <c r="X23" s="8">
        <v>-15.9</v>
      </c>
      <c r="Y23" s="8">
        <v>0</v>
      </c>
      <c r="Z23" s="97">
        <v>-15.9</v>
      </c>
      <c r="AA23" s="8">
        <v>0</v>
      </c>
      <c r="AB23" s="8">
        <v>-1.5</v>
      </c>
      <c r="AC23" s="8">
        <v>-1</v>
      </c>
      <c r="AD23" s="8">
        <f t="shared" si="3"/>
        <v>0</v>
      </c>
      <c r="AE23" s="97">
        <v>-2.5</v>
      </c>
      <c r="AF23" s="8">
        <v>-1.6</v>
      </c>
    </row>
    <row r="24" spans="1:32" ht="13.95" customHeight="1" x14ac:dyDescent="0.3">
      <c r="A24" s="18" t="s">
        <v>93</v>
      </c>
      <c r="B24" s="41"/>
      <c r="C24" s="41"/>
      <c r="D24" s="41"/>
      <c r="E24" s="52"/>
      <c r="F24" s="97"/>
      <c r="G24" s="53"/>
      <c r="H24" s="53"/>
      <c r="I24" s="53"/>
      <c r="J24" s="53"/>
      <c r="K24" s="97"/>
      <c r="L24" s="53"/>
      <c r="M24" s="53"/>
      <c r="N24" s="53"/>
      <c r="O24" s="53"/>
      <c r="P24" s="97"/>
      <c r="Q24" s="53"/>
      <c r="R24" s="53"/>
      <c r="S24" s="53"/>
      <c r="T24" s="53"/>
      <c r="U24" s="97"/>
      <c r="V24" s="53">
        <v>0</v>
      </c>
      <c r="W24" s="8">
        <v>0</v>
      </c>
      <c r="X24" s="8">
        <v>0</v>
      </c>
      <c r="Y24" s="8">
        <v>0</v>
      </c>
      <c r="Z24" s="97">
        <v>0</v>
      </c>
      <c r="AA24" s="8">
        <v>0</v>
      </c>
      <c r="AB24" s="8">
        <v>-2.5</v>
      </c>
      <c r="AC24" s="8">
        <v>0.29999999999999982</v>
      </c>
      <c r="AD24" s="8">
        <f t="shared" si="3"/>
        <v>-0.59999999999999964</v>
      </c>
      <c r="AE24" s="97">
        <v>-2.8</v>
      </c>
      <c r="AF24" s="8">
        <v>-0.1</v>
      </c>
    </row>
    <row r="25" spans="1:32" ht="13.95" customHeight="1" x14ac:dyDescent="0.3">
      <c r="A25" s="15" t="s">
        <v>45</v>
      </c>
      <c r="B25" s="8">
        <v>0.4</v>
      </c>
      <c r="C25" s="8">
        <v>0.19999999999999996</v>
      </c>
      <c r="D25" s="8">
        <v>9.9999999999999978E-2</v>
      </c>
      <c r="E25" s="8">
        <f t="shared" si="6"/>
        <v>0.20000000000000007</v>
      </c>
      <c r="F25" s="95">
        <v>0.9</v>
      </c>
      <c r="G25" s="21">
        <v>0.2</v>
      </c>
      <c r="H25" s="21">
        <v>0.2</v>
      </c>
      <c r="I25" s="21">
        <v>0.2</v>
      </c>
      <c r="J25" s="21">
        <v>0.1</v>
      </c>
      <c r="K25" s="95">
        <f>+J25+I25+H25+G25</f>
        <v>0.7</v>
      </c>
      <c r="L25" s="8">
        <v>0.1</v>
      </c>
      <c r="M25" s="8">
        <v>0</v>
      </c>
      <c r="N25" s="21">
        <v>0.3</v>
      </c>
      <c r="O25" s="21">
        <v>1.3</v>
      </c>
      <c r="P25" s="95">
        <v>1.7</v>
      </c>
      <c r="Q25" s="8">
        <v>1.6</v>
      </c>
      <c r="R25" s="8">
        <v>2</v>
      </c>
      <c r="S25" s="8">
        <v>2.5</v>
      </c>
      <c r="T25" s="8">
        <v>2.2000000000000002</v>
      </c>
      <c r="U25" s="95">
        <f t="shared" si="9"/>
        <v>8.3000000000000007</v>
      </c>
      <c r="V25" s="8">
        <v>1.5</v>
      </c>
      <c r="W25" s="8">
        <v>3.1</v>
      </c>
      <c r="X25" s="8">
        <v>4.5999999999999996</v>
      </c>
      <c r="Y25" s="8">
        <v>3.9000000000000004</v>
      </c>
      <c r="Z25" s="95">
        <v>13.1</v>
      </c>
      <c r="AA25" s="8">
        <v>3.3</v>
      </c>
      <c r="AB25" s="8">
        <v>3.7</v>
      </c>
      <c r="AC25" s="8">
        <v>3</v>
      </c>
      <c r="AD25" s="8">
        <f t="shared" si="3"/>
        <v>2.3000000000000007</v>
      </c>
      <c r="AE25" s="95">
        <v>12.3</v>
      </c>
      <c r="AF25" s="8">
        <v>2</v>
      </c>
    </row>
    <row r="26" spans="1:32" ht="13.95" customHeight="1" x14ac:dyDescent="0.3">
      <c r="A26" s="16" t="s">
        <v>115</v>
      </c>
      <c r="B26" s="34">
        <f t="shared" ref="B26:F26" si="10">SUM(B19:B25)</f>
        <v>-49</v>
      </c>
      <c r="C26" s="34">
        <v>-9.600000000000005</v>
      </c>
      <c r="D26" s="34">
        <v>-0.69999999999999718</v>
      </c>
      <c r="E26" s="34">
        <f t="shared" si="6"/>
        <v>-14.299999999999992</v>
      </c>
      <c r="F26" s="98">
        <f t="shared" si="10"/>
        <v>-73.599999999999994</v>
      </c>
      <c r="G26" s="48">
        <f t="shared" ref="G26:H26" si="11">SUM(G19:G25)</f>
        <v>-13.200000000000001</v>
      </c>
      <c r="H26" s="48">
        <f t="shared" si="11"/>
        <v>-23.1</v>
      </c>
      <c r="I26" s="48">
        <f t="shared" ref="I26:J26" si="12">SUM(I19:I25)</f>
        <v>-59.5</v>
      </c>
      <c r="J26" s="48">
        <f t="shared" si="12"/>
        <v>-24.699999999999996</v>
      </c>
      <c r="K26" s="98">
        <f>+J26+I26+H26+G26</f>
        <v>-120.49999999999999</v>
      </c>
      <c r="L26" s="48">
        <v>-44.699999999999996</v>
      </c>
      <c r="M26" s="48">
        <v>-52.1</v>
      </c>
      <c r="N26" s="48">
        <f t="shared" ref="N26:P26" si="13">SUM(N19:N25)</f>
        <v>-65.100000000000009</v>
      </c>
      <c r="O26" s="48">
        <f t="shared" si="13"/>
        <v>-76.3</v>
      </c>
      <c r="P26" s="98">
        <f t="shared" si="13"/>
        <v>-238.20000000000002</v>
      </c>
      <c r="Q26" s="48">
        <f t="shared" ref="Q26" si="14">SUM(Q19:Q25)</f>
        <v>-73.5</v>
      </c>
      <c r="R26" s="48">
        <v>-75.5</v>
      </c>
      <c r="S26" s="48">
        <v>-102</v>
      </c>
      <c r="T26" s="48">
        <f>SUM(T19:T25)</f>
        <v>-75.699999999999974</v>
      </c>
      <c r="U26" s="98">
        <f>SUM(U19:U25)</f>
        <v>-326.7</v>
      </c>
      <c r="V26" s="48">
        <v>-80.8</v>
      </c>
      <c r="W26" s="48">
        <v>-124.60000000000001</v>
      </c>
      <c r="X26" s="48">
        <v>-98.600000000000009</v>
      </c>
      <c r="Y26" s="34">
        <f t="shared" ref="Y26:AD26" si="15">SUM(Y19:Y25)</f>
        <v>-76.600000000000009</v>
      </c>
      <c r="Z26" s="98">
        <f t="shared" si="15"/>
        <v>-380.59999999999997</v>
      </c>
      <c r="AA26" s="34">
        <f t="shared" si="15"/>
        <v>-81</v>
      </c>
      <c r="AB26" s="34">
        <f t="shared" si="15"/>
        <v>-94</v>
      </c>
      <c r="AC26" s="34">
        <f t="shared" si="15"/>
        <v>-120.30000000000001</v>
      </c>
      <c r="AD26" s="34">
        <f t="shared" si="15"/>
        <v>-138.99999999999997</v>
      </c>
      <c r="AE26" s="98">
        <f>SUM(AE19:AE25)</f>
        <v>-434.3</v>
      </c>
      <c r="AF26" s="34">
        <f t="shared" ref="AF26" si="16">SUM(AF19:AF25)</f>
        <v>-125.99999999999999</v>
      </c>
    </row>
    <row r="27" spans="1:32" ht="13.95" customHeight="1" x14ac:dyDescent="0.3">
      <c r="A27" s="17"/>
      <c r="B27" s="41"/>
      <c r="C27" s="41"/>
      <c r="D27" s="41"/>
      <c r="E27" s="52"/>
      <c r="F27" s="97"/>
      <c r="G27" s="53"/>
      <c r="H27" s="53"/>
      <c r="I27" s="53"/>
      <c r="J27" s="53"/>
      <c r="K27" s="97"/>
      <c r="L27" s="53"/>
      <c r="M27" s="53"/>
      <c r="N27" s="53"/>
      <c r="O27" s="53"/>
      <c r="P27" s="97"/>
      <c r="Q27" s="53"/>
      <c r="R27" s="53"/>
      <c r="S27" s="53"/>
      <c r="T27" s="53"/>
      <c r="U27" s="97"/>
      <c r="V27" s="53"/>
      <c r="W27" s="53"/>
      <c r="X27" s="53"/>
      <c r="Y27" s="8"/>
      <c r="Z27" s="97"/>
      <c r="AA27" s="8"/>
      <c r="AB27" s="8"/>
      <c r="AC27" s="8"/>
      <c r="AD27" s="8">
        <f t="shared" si="3"/>
        <v>0</v>
      </c>
      <c r="AE27" s="97"/>
      <c r="AF27" s="8"/>
    </row>
    <row r="28" spans="1:32" ht="13.8" x14ac:dyDescent="0.3">
      <c r="A28" s="15" t="s">
        <v>46</v>
      </c>
      <c r="B28" s="8">
        <v>0</v>
      </c>
      <c r="C28" s="8">
        <v>0</v>
      </c>
      <c r="D28" s="8">
        <v>0</v>
      </c>
      <c r="E28" s="8">
        <f t="shared" si="6"/>
        <v>0</v>
      </c>
      <c r="F28" s="74">
        <v>0</v>
      </c>
      <c r="G28" s="8">
        <v>0</v>
      </c>
      <c r="H28" s="8">
        <v>0</v>
      </c>
      <c r="I28" s="8">
        <v>0</v>
      </c>
      <c r="J28" s="8">
        <v>0</v>
      </c>
      <c r="K28" s="74">
        <f>+J28+I28+H28+G28</f>
        <v>0</v>
      </c>
      <c r="L28" s="8">
        <v>0</v>
      </c>
      <c r="M28" s="8">
        <v>0</v>
      </c>
      <c r="N28" s="8">
        <v>100</v>
      </c>
      <c r="O28" s="8">
        <v>71</v>
      </c>
      <c r="P28" s="74">
        <f t="shared" ref="P28:P35" si="17">+L28+M28+N28+O28</f>
        <v>171</v>
      </c>
      <c r="Q28" s="8">
        <v>29</v>
      </c>
      <c r="R28" s="8">
        <v>100</v>
      </c>
      <c r="S28" s="8">
        <v>80</v>
      </c>
      <c r="T28" s="8">
        <v>0</v>
      </c>
      <c r="U28" s="74">
        <f t="shared" ref="U28:U32" si="18">+Q28+R28+S28+T28</f>
        <v>209</v>
      </c>
      <c r="V28" s="8">
        <v>40</v>
      </c>
      <c r="W28" s="8">
        <v>250</v>
      </c>
      <c r="X28" s="8">
        <v>0</v>
      </c>
      <c r="Y28" s="8">
        <v>70</v>
      </c>
      <c r="Z28" s="74">
        <v>360</v>
      </c>
      <c r="AA28" s="8">
        <v>50</v>
      </c>
      <c r="AB28" s="8">
        <v>120</v>
      </c>
      <c r="AC28" s="8">
        <v>174.8</v>
      </c>
      <c r="AD28" s="8">
        <f t="shared" si="3"/>
        <v>69.899999999999977</v>
      </c>
      <c r="AE28" s="74">
        <v>414.7</v>
      </c>
      <c r="AF28" s="8">
        <v>329</v>
      </c>
    </row>
    <row r="29" spans="1:32" ht="13.95" customHeight="1" x14ac:dyDescent="0.3">
      <c r="A29" s="15" t="s">
        <v>47</v>
      </c>
      <c r="B29" s="8">
        <v>-27.5</v>
      </c>
      <c r="C29" s="8">
        <v>0</v>
      </c>
      <c r="D29" s="8">
        <v>0</v>
      </c>
      <c r="E29" s="8">
        <f t="shared" si="6"/>
        <v>0</v>
      </c>
      <c r="F29" s="74">
        <v>-27.5</v>
      </c>
      <c r="G29" s="8">
        <v>0</v>
      </c>
      <c r="H29" s="8">
        <v>0</v>
      </c>
      <c r="I29" s="8">
        <v>0</v>
      </c>
      <c r="J29" s="8">
        <v>0</v>
      </c>
      <c r="K29" s="74">
        <f>+J29+I29+H29+G29</f>
        <v>0</v>
      </c>
      <c r="L29" s="8">
        <v>0</v>
      </c>
      <c r="M29" s="8">
        <v>0</v>
      </c>
      <c r="N29" s="8">
        <v>0</v>
      </c>
      <c r="O29" s="8">
        <v>0</v>
      </c>
      <c r="P29" s="74">
        <f t="shared" si="17"/>
        <v>0</v>
      </c>
      <c r="Q29" s="8">
        <v>0</v>
      </c>
      <c r="R29" s="8">
        <v>0</v>
      </c>
      <c r="S29" s="8">
        <v>0</v>
      </c>
      <c r="T29" s="8"/>
      <c r="U29" s="74">
        <f t="shared" si="18"/>
        <v>0</v>
      </c>
      <c r="V29" s="8">
        <v>0</v>
      </c>
      <c r="W29" s="8">
        <v>-70</v>
      </c>
      <c r="X29" s="8">
        <v>-33.799999999999997</v>
      </c>
      <c r="Y29" s="8">
        <v>-63.699999999999989</v>
      </c>
      <c r="Z29" s="74">
        <v>-167.5</v>
      </c>
      <c r="AA29" s="8">
        <v>-23.8</v>
      </c>
      <c r="AB29" s="8">
        <v>-93.7</v>
      </c>
      <c r="AC29" s="8">
        <v>-23.800000000000011</v>
      </c>
      <c r="AD29" s="8">
        <f t="shared" si="3"/>
        <v>-58.699999999999989</v>
      </c>
      <c r="AE29" s="74">
        <v>-200</v>
      </c>
      <c r="AF29" s="8">
        <v>-115.8</v>
      </c>
    </row>
    <row r="30" spans="1:32" ht="13.8" x14ac:dyDescent="0.3">
      <c r="A30" s="15" t="s">
        <v>48</v>
      </c>
      <c r="B30" s="8">
        <v>122.8</v>
      </c>
      <c r="C30" s="8">
        <v>0</v>
      </c>
      <c r="D30" s="8">
        <v>0</v>
      </c>
      <c r="E30" s="8">
        <f t="shared" si="6"/>
        <v>0</v>
      </c>
      <c r="F30" s="95">
        <v>122.8</v>
      </c>
      <c r="G30" s="21">
        <v>75</v>
      </c>
      <c r="H30" s="21">
        <v>0</v>
      </c>
      <c r="I30" s="21">
        <v>0</v>
      </c>
      <c r="J30" s="21">
        <v>0</v>
      </c>
      <c r="K30" s="95">
        <f>+J30+I30+H30+G30</f>
        <v>75</v>
      </c>
      <c r="L30" s="21">
        <v>0</v>
      </c>
      <c r="M30" s="21">
        <v>0</v>
      </c>
      <c r="N30" s="21">
        <v>0</v>
      </c>
      <c r="O30" s="21">
        <v>0</v>
      </c>
      <c r="P30" s="95">
        <f t="shared" si="17"/>
        <v>0</v>
      </c>
      <c r="Q30" s="21">
        <v>0</v>
      </c>
      <c r="R30" s="21">
        <v>0</v>
      </c>
      <c r="S30" s="21">
        <v>0</v>
      </c>
      <c r="T30" s="21">
        <v>0</v>
      </c>
      <c r="U30" s="95">
        <f t="shared" si="18"/>
        <v>0</v>
      </c>
      <c r="V30" s="21">
        <v>0</v>
      </c>
      <c r="W30" s="21">
        <v>0</v>
      </c>
      <c r="X30" s="21">
        <v>0</v>
      </c>
      <c r="Y30" s="8">
        <v>0</v>
      </c>
      <c r="Z30" s="95">
        <v>0</v>
      </c>
      <c r="AA30" s="8">
        <v>0</v>
      </c>
      <c r="AB30" s="8"/>
      <c r="AC30" s="8">
        <v>0</v>
      </c>
      <c r="AD30" s="8">
        <f t="shared" si="3"/>
        <v>0</v>
      </c>
      <c r="AE30" s="95">
        <v>0</v>
      </c>
      <c r="AF30" s="8"/>
    </row>
    <row r="31" spans="1:32" ht="13.95" customHeight="1" x14ac:dyDescent="0.3">
      <c r="A31" s="15" t="s">
        <v>49</v>
      </c>
      <c r="B31" s="8">
        <v>-1.5</v>
      </c>
      <c r="C31" s="8">
        <v>0.10000000000000009</v>
      </c>
      <c r="D31" s="8">
        <v>-0.20000000000000018</v>
      </c>
      <c r="E31" s="54">
        <v>0</v>
      </c>
      <c r="F31" s="95">
        <f>3.7-5.3</f>
        <v>-1.5999999999999996</v>
      </c>
      <c r="G31" s="21">
        <f>-1.5+0.1</f>
        <v>-1.4</v>
      </c>
      <c r="H31" s="21">
        <v>0</v>
      </c>
      <c r="I31" s="21">
        <v>0</v>
      </c>
      <c r="J31" s="21">
        <v>0</v>
      </c>
      <c r="K31" s="95">
        <f>+J31+I31+H31+G31</f>
        <v>-1.4</v>
      </c>
      <c r="L31" s="21">
        <v>0</v>
      </c>
      <c r="M31" s="21">
        <v>0</v>
      </c>
      <c r="N31" s="21">
        <v>0</v>
      </c>
      <c r="O31" s="21">
        <v>0</v>
      </c>
      <c r="P31" s="95">
        <f t="shared" si="17"/>
        <v>0</v>
      </c>
      <c r="Q31" s="21">
        <v>0</v>
      </c>
      <c r="R31" s="21">
        <v>0</v>
      </c>
      <c r="S31" s="21">
        <v>0</v>
      </c>
      <c r="T31" s="21">
        <v>0</v>
      </c>
      <c r="U31" s="95">
        <f t="shared" si="18"/>
        <v>0</v>
      </c>
      <c r="V31" s="21">
        <v>0</v>
      </c>
      <c r="W31" s="21">
        <v>0</v>
      </c>
      <c r="X31" s="21">
        <v>0</v>
      </c>
      <c r="Y31" s="8">
        <v>0</v>
      </c>
      <c r="Z31" s="95"/>
      <c r="AD31" s="8">
        <f t="shared" si="3"/>
        <v>0</v>
      </c>
      <c r="AE31" s="95">
        <v>0</v>
      </c>
    </row>
    <row r="32" spans="1:32" s="14" customFormat="1" ht="13.95" customHeight="1" x14ac:dyDescent="0.3">
      <c r="A32" s="15" t="s">
        <v>63</v>
      </c>
      <c r="B32" s="8">
        <v>0</v>
      </c>
      <c r="C32" s="8">
        <v>0</v>
      </c>
      <c r="D32" s="8">
        <v>0</v>
      </c>
      <c r="E32" s="54">
        <v>0</v>
      </c>
      <c r="F32" s="74">
        <v>0</v>
      </c>
      <c r="G32" s="8">
        <v>0</v>
      </c>
      <c r="H32" s="8">
        <v>0</v>
      </c>
      <c r="I32" s="8">
        <v>0</v>
      </c>
      <c r="J32" s="8">
        <v>0</v>
      </c>
      <c r="K32" s="74">
        <f t="shared" ref="K32" si="19">+J32+I32+H32+G32</f>
        <v>0</v>
      </c>
      <c r="L32" s="8">
        <v>0</v>
      </c>
      <c r="M32" s="8">
        <v>0</v>
      </c>
      <c r="N32" s="8">
        <v>0</v>
      </c>
      <c r="O32" s="8">
        <v>-6.3</v>
      </c>
      <c r="P32" s="74">
        <v>-6.3</v>
      </c>
      <c r="Q32" s="21">
        <v>-1.4</v>
      </c>
      <c r="R32" s="21">
        <v>-1.1000000000000001</v>
      </c>
      <c r="S32" s="21">
        <v>-0.2</v>
      </c>
      <c r="T32" s="21">
        <v>0</v>
      </c>
      <c r="U32" s="74">
        <f t="shared" si="18"/>
        <v>-2.7</v>
      </c>
      <c r="V32" s="21">
        <v>0</v>
      </c>
      <c r="W32" s="21">
        <v>-4.0999999999999996</v>
      </c>
      <c r="X32" s="21">
        <v>0</v>
      </c>
      <c r="Y32" s="8">
        <v>0</v>
      </c>
      <c r="Z32" s="74">
        <v>-4.0999999999999996</v>
      </c>
      <c r="AA32" s="8">
        <v>-6.5</v>
      </c>
      <c r="AB32" s="8">
        <v>-1</v>
      </c>
      <c r="AC32" s="8">
        <v>-23.6</v>
      </c>
      <c r="AD32" s="8">
        <f t="shared" si="3"/>
        <v>0.10000000000000142</v>
      </c>
      <c r="AE32" s="74">
        <v>-31</v>
      </c>
      <c r="AF32" s="8">
        <v>-0.9</v>
      </c>
    </row>
    <row r="33" spans="1:32" ht="13.95" customHeight="1" x14ac:dyDescent="0.3">
      <c r="A33" s="15" t="s">
        <v>60</v>
      </c>
      <c r="B33" s="8">
        <v>0</v>
      </c>
      <c r="C33" s="8">
        <v>0</v>
      </c>
      <c r="D33" s="8">
        <v>0</v>
      </c>
      <c r="E33" s="54">
        <v>0</v>
      </c>
      <c r="F33" s="95">
        <v>0</v>
      </c>
      <c r="G33" s="21">
        <v>0</v>
      </c>
      <c r="H33" s="21">
        <v>0</v>
      </c>
      <c r="I33" s="21">
        <v>0</v>
      </c>
      <c r="J33" s="21">
        <v>0</v>
      </c>
      <c r="K33" s="95">
        <v>0</v>
      </c>
      <c r="L33" s="21">
        <v>0</v>
      </c>
      <c r="M33" s="21">
        <v>0</v>
      </c>
      <c r="N33" s="21">
        <v>-5.9</v>
      </c>
      <c r="O33" s="21">
        <v>2.4</v>
      </c>
      <c r="P33" s="95">
        <v>-3.5</v>
      </c>
      <c r="Q33" s="21">
        <v>-3.8000000000000003</v>
      </c>
      <c r="R33" s="21">
        <v>-5.9</v>
      </c>
      <c r="S33" s="21">
        <v>-10.8</v>
      </c>
      <c r="T33" s="21">
        <v>-8.4</v>
      </c>
      <c r="U33" s="95">
        <f>+Q33+R33+S33+T33-0.1</f>
        <v>-29</v>
      </c>
      <c r="V33" s="21">
        <v>-12.5</v>
      </c>
      <c r="W33" s="21">
        <v>-8.1</v>
      </c>
      <c r="X33" s="21">
        <v>-22.3</v>
      </c>
      <c r="Y33" s="8">
        <v>-18.699999999999996</v>
      </c>
      <c r="Z33" s="95">
        <v>-61.6</v>
      </c>
      <c r="AA33" s="8">
        <v>-12.1</v>
      </c>
      <c r="AB33" s="8">
        <v>-16.100000000000001</v>
      </c>
      <c r="AC33" s="8">
        <v>-13.599999999999994</v>
      </c>
      <c r="AD33" s="8">
        <f t="shared" si="3"/>
        <v>-21.6</v>
      </c>
      <c r="AE33" s="95">
        <v>-63.4</v>
      </c>
      <c r="AF33" s="8">
        <v>-18.899999999999999</v>
      </c>
    </row>
    <row r="34" spans="1:32" s="14" customFormat="1" ht="13.95" customHeight="1" x14ac:dyDescent="0.3">
      <c r="A34" s="15" t="s">
        <v>50</v>
      </c>
      <c r="B34" s="8">
        <v>-7.3</v>
      </c>
      <c r="C34" s="8">
        <v>-7.7</v>
      </c>
      <c r="D34" s="8">
        <v>-7.1000000000000005</v>
      </c>
      <c r="E34" s="8">
        <f>+F34-B34-C34-D34</f>
        <v>-7.8999999999999995</v>
      </c>
      <c r="F34" s="74">
        <v>-30</v>
      </c>
      <c r="G34" s="8">
        <v>-7.9</v>
      </c>
      <c r="H34" s="8">
        <v>-8</v>
      </c>
      <c r="I34" s="8">
        <v>-7.9</v>
      </c>
      <c r="J34" s="8">
        <v>-7.9</v>
      </c>
      <c r="K34" s="74">
        <f>+J34+I34+H34+G34</f>
        <v>-31.700000000000003</v>
      </c>
      <c r="L34" s="8">
        <v>-7.9</v>
      </c>
      <c r="M34" s="8">
        <v>-7.9</v>
      </c>
      <c r="N34" s="8">
        <v>-7.9</v>
      </c>
      <c r="O34" s="8">
        <v>-7.9</v>
      </c>
      <c r="P34" s="74">
        <v>-31.6</v>
      </c>
      <c r="Q34" s="8">
        <v>-8.1</v>
      </c>
      <c r="R34" s="8">
        <v>-8.3000000000000007</v>
      </c>
      <c r="S34" s="8">
        <v>-13.2</v>
      </c>
      <c r="T34" s="8">
        <v>-18.7</v>
      </c>
      <c r="U34" s="74">
        <f>+Q34+R34+S34+T34+0.1</f>
        <v>-48.199999999999996</v>
      </c>
      <c r="V34" s="8">
        <v>-12.6</v>
      </c>
      <c r="W34" s="8">
        <v>-12.4</v>
      </c>
      <c r="X34" s="8">
        <v>-24.6</v>
      </c>
      <c r="Y34" s="8">
        <v>-16.699999999999996</v>
      </c>
      <c r="Z34" s="74">
        <v>-66.3</v>
      </c>
      <c r="AA34" s="8">
        <v>-16.2</v>
      </c>
      <c r="AB34" s="8">
        <v>-16.5</v>
      </c>
      <c r="AC34" s="8">
        <v>-16.599999999999991</v>
      </c>
      <c r="AD34" s="8">
        <f t="shared" si="3"/>
        <v>-23.000000000000004</v>
      </c>
      <c r="AE34" s="74">
        <v>-72.3</v>
      </c>
      <c r="AF34" s="8">
        <v>-18.899999999999999</v>
      </c>
    </row>
    <row r="35" spans="1:32" ht="13.95" hidden="1" customHeight="1" x14ac:dyDescent="0.3">
      <c r="A35" s="18" t="s">
        <v>51</v>
      </c>
      <c r="B35" s="8">
        <v>0</v>
      </c>
      <c r="C35" s="8">
        <v>0</v>
      </c>
      <c r="D35" s="8">
        <v>0</v>
      </c>
      <c r="E35" s="8">
        <f t="shared" si="6"/>
        <v>0</v>
      </c>
      <c r="F35" s="74">
        <v>0</v>
      </c>
      <c r="G35" s="8">
        <v>0</v>
      </c>
      <c r="H35" s="8">
        <v>0</v>
      </c>
      <c r="I35" s="8">
        <v>0</v>
      </c>
      <c r="J35" s="8">
        <v>0</v>
      </c>
      <c r="K35" s="74">
        <f>+J35+I35+H35+G35</f>
        <v>0</v>
      </c>
      <c r="L35" s="8">
        <v>0</v>
      </c>
      <c r="M35" s="8">
        <v>0</v>
      </c>
      <c r="N35" s="8">
        <v>0</v>
      </c>
      <c r="O35" s="8">
        <v>0</v>
      </c>
      <c r="P35" s="74">
        <f t="shared" si="17"/>
        <v>0</v>
      </c>
      <c r="Q35" s="8">
        <v>0</v>
      </c>
      <c r="R35" s="8">
        <v>0</v>
      </c>
      <c r="S35" s="8">
        <v>0</v>
      </c>
      <c r="T35" s="8"/>
      <c r="U35" s="74">
        <v>0</v>
      </c>
      <c r="V35" s="8">
        <v>0</v>
      </c>
      <c r="W35" s="8">
        <v>0</v>
      </c>
      <c r="X35" s="8">
        <v>0</v>
      </c>
      <c r="Y35" s="8">
        <v>0</v>
      </c>
      <c r="Z35" s="74">
        <v>0</v>
      </c>
      <c r="AA35" s="8">
        <v>0</v>
      </c>
      <c r="AB35" s="8">
        <v>0</v>
      </c>
      <c r="AC35" s="8">
        <v>0</v>
      </c>
      <c r="AD35" s="8">
        <f t="shared" si="3"/>
        <v>0</v>
      </c>
      <c r="AE35" s="74">
        <v>0</v>
      </c>
      <c r="AF35" s="8">
        <v>0</v>
      </c>
    </row>
    <row r="36" spans="1:32" ht="13.95" customHeight="1" x14ac:dyDescent="0.3">
      <c r="A36" s="16" t="s">
        <v>116</v>
      </c>
      <c r="B36" s="32">
        <f>SUM(B28:B35)</f>
        <v>86.5</v>
      </c>
      <c r="C36" s="32">
        <v>-7.6</v>
      </c>
      <c r="D36" s="32">
        <v>-7.3000000000000007</v>
      </c>
      <c r="E36" s="32">
        <f t="shared" si="6"/>
        <v>-7.8999999999999968</v>
      </c>
      <c r="F36" s="99">
        <f>SUM(F28:F35)</f>
        <v>63.7</v>
      </c>
      <c r="G36" s="46">
        <f>SUM(G28:G35)</f>
        <v>65.699999999999989</v>
      </c>
      <c r="H36" s="46">
        <f>SUM(H28:H35)</f>
        <v>-8</v>
      </c>
      <c r="I36" s="46">
        <f>SUM(I28:I35)</f>
        <v>-7.9</v>
      </c>
      <c r="J36" s="46">
        <f>SUM(J28:J35)</f>
        <v>-7.9</v>
      </c>
      <c r="K36" s="99">
        <f>+J36+I36+H36+G36</f>
        <v>41.899999999999991</v>
      </c>
      <c r="L36" s="46">
        <v>-7.9</v>
      </c>
      <c r="M36" s="46">
        <v>-7.9</v>
      </c>
      <c r="N36" s="46">
        <f>SUM(N28:N35)</f>
        <v>86.199999999999989</v>
      </c>
      <c r="O36" s="46">
        <f>SUM(O28:O35)</f>
        <v>59.20000000000001</v>
      </c>
      <c r="P36" s="99">
        <f>SUM(P28:P35)</f>
        <v>129.6</v>
      </c>
      <c r="Q36" s="46">
        <f>SUM(Q28:Q35)</f>
        <v>15.700000000000001</v>
      </c>
      <c r="R36" s="46">
        <v>84.7</v>
      </c>
      <c r="S36" s="46">
        <v>55.8</v>
      </c>
      <c r="T36" s="46">
        <f>SUM(T28:T34)</f>
        <v>-27.1</v>
      </c>
      <c r="U36" s="99">
        <f>SUM(U28:U35)</f>
        <v>129.10000000000002</v>
      </c>
      <c r="V36" s="46">
        <v>14.9</v>
      </c>
      <c r="W36" s="46">
        <v>155.4</v>
      </c>
      <c r="X36" s="46">
        <v>-80.7</v>
      </c>
      <c r="Y36" s="34">
        <f>SUM(Y28:Y35)</f>
        <v>-29.09999999999998</v>
      </c>
      <c r="Z36" s="99">
        <v>60.499999999999993</v>
      </c>
      <c r="AA36" s="34">
        <f>SUM(AA28:AA35)</f>
        <v>-8.6</v>
      </c>
      <c r="AB36" s="34">
        <f>SUM(AB28:AB35)</f>
        <v>-7.3000000000000043</v>
      </c>
      <c r="AC36" s="34">
        <f t="shared" ref="AC36:AD36" si="20">SUM(AC28:AC35)</f>
        <v>97.200000000000017</v>
      </c>
      <c r="AD36" s="34">
        <f t="shared" si="20"/>
        <v>-33.300000000000011</v>
      </c>
      <c r="AE36" s="99">
        <f>SUM(AE28:AE35)</f>
        <v>47.999999999999986</v>
      </c>
      <c r="AF36" s="34">
        <f>SUM(AF28:AF35)</f>
        <v>174.49999999999997</v>
      </c>
    </row>
    <row r="37" spans="1:32" ht="13.95" customHeight="1" x14ac:dyDescent="0.3">
      <c r="A37" s="19"/>
      <c r="B37" s="42"/>
      <c r="C37" s="42"/>
      <c r="D37" s="42"/>
      <c r="E37" s="42">
        <f t="shared" si="6"/>
        <v>0</v>
      </c>
      <c r="F37" s="100"/>
      <c r="G37" s="55"/>
      <c r="H37" s="55"/>
      <c r="I37" s="55"/>
      <c r="J37" s="55"/>
      <c r="K37" s="100"/>
      <c r="L37" s="55"/>
      <c r="M37" s="55"/>
      <c r="N37" s="55"/>
      <c r="O37" s="55"/>
      <c r="P37" s="100"/>
      <c r="Q37" s="55"/>
      <c r="R37" s="55"/>
      <c r="S37" s="55"/>
      <c r="T37" s="55"/>
      <c r="U37" s="100"/>
      <c r="V37" s="55"/>
      <c r="W37" s="55"/>
      <c r="X37" s="55"/>
      <c r="Y37" s="8">
        <f t="shared" ref="Y37" si="21">Z37-X37-W37-V37</f>
        <v>0</v>
      </c>
      <c r="Z37" s="100"/>
      <c r="AA37" s="8"/>
      <c r="AB37" s="8"/>
      <c r="AC37" s="8"/>
      <c r="AD37" s="8">
        <f t="shared" si="3"/>
        <v>0</v>
      </c>
      <c r="AE37" s="100"/>
      <c r="AF37" s="8"/>
    </row>
    <row r="38" spans="1:32" ht="13.95" customHeight="1" x14ac:dyDescent="0.3">
      <c r="A38" s="20" t="s">
        <v>52</v>
      </c>
      <c r="B38" s="34">
        <f>+B36+B26+B17</f>
        <v>87.3</v>
      </c>
      <c r="C38" s="34">
        <v>-40.699999999999989</v>
      </c>
      <c r="D38" s="34">
        <v>17.699999999999996</v>
      </c>
      <c r="E38" s="34">
        <f t="shared" si="6"/>
        <v>-24.699999999999989</v>
      </c>
      <c r="F38" s="98">
        <f>+F36+F26+F17</f>
        <v>39.600000000000016</v>
      </c>
      <c r="G38" s="48">
        <f>+G36+G26+G17</f>
        <v>64.199999999999989</v>
      </c>
      <c r="H38" s="48">
        <f>+H36+H26+H17</f>
        <v>31.699999999999996</v>
      </c>
      <c r="I38" s="48">
        <f>+I36+I26+I17</f>
        <v>-45.900000000000006</v>
      </c>
      <c r="J38" s="48">
        <f>+J36+J26+J17</f>
        <v>-19.70000000000001</v>
      </c>
      <c r="K38" s="98">
        <f>+J38+I38+H38+G38</f>
        <v>30.299999999999962</v>
      </c>
      <c r="L38" s="48">
        <v>-40.09999999999998</v>
      </c>
      <c r="M38" s="48">
        <v>12.499999999999986</v>
      </c>
      <c r="N38" s="48">
        <f>+N36+N26+N17</f>
        <v>63.29999999999999</v>
      </c>
      <c r="O38" s="48">
        <f>+O36+O26+O17</f>
        <v>24.200000000000017</v>
      </c>
      <c r="P38" s="98">
        <f>+P36+P26+P17</f>
        <v>59.900000000000006</v>
      </c>
      <c r="Q38" s="48">
        <f>+Q36+Q26+Q17</f>
        <v>-44.399999999999991</v>
      </c>
      <c r="R38" s="48">
        <v>67.100000000000009</v>
      </c>
      <c r="S38" s="48">
        <v>-35.800000000000004</v>
      </c>
      <c r="T38" s="48">
        <f>+T17+T26+T36</f>
        <v>-3.4999999999999787</v>
      </c>
      <c r="U38" s="98">
        <f>+U36+U26+U17</f>
        <v>-16.599999999999909</v>
      </c>
      <c r="V38" s="48">
        <v>-44.099999999999994</v>
      </c>
      <c r="W38" s="48">
        <v>94.1</v>
      </c>
      <c r="X38" s="48">
        <v>-34.4</v>
      </c>
      <c r="Y38" s="34">
        <v>12</v>
      </c>
      <c r="Z38" s="98">
        <f>Z17+Z26+Z36</f>
        <v>27.600000000000129</v>
      </c>
      <c r="AA38" s="34">
        <f>AA17+AA26+AA36</f>
        <v>65.099999999999994</v>
      </c>
      <c r="AB38" s="34">
        <f>AB17+AB26+AB36</f>
        <v>-94</v>
      </c>
      <c r="AC38" s="34">
        <f t="shared" ref="AC38:AD38" si="22">AC17+AC26+AC36</f>
        <v>66.399999999999977</v>
      </c>
      <c r="AD38" s="34">
        <f t="shared" si="22"/>
        <v>-108.79999999999997</v>
      </c>
      <c r="AE38" s="98">
        <f>AE17+AE26+AE36</f>
        <v>-71.300000000000026</v>
      </c>
      <c r="AF38" s="34">
        <f>AF17+AF26+AF36</f>
        <v>9.9999999999999716</v>
      </c>
    </row>
    <row r="39" spans="1:32" ht="13.95" customHeight="1" x14ac:dyDescent="0.3">
      <c r="A39" s="19"/>
      <c r="B39" s="41"/>
      <c r="C39" s="41"/>
      <c r="D39" s="41"/>
      <c r="E39" s="52"/>
      <c r="F39" s="97"/>
      <c r="G39" s="53"/>
      <c r="H39" s="53"/>
      <c r="I39" s="53"/>
      <c r="J39" s="53"/>
      <c r="K39" s="97"/>
      <c r="L39" s="53"/>
      <c r="M39" s="53"/>
      <c r="N39" s="53"/>
      <c r="O39" s="53"/>
      <c r="P39" s="97"/>
      <c r="Q39" s="53"/>
      <c r="R39" s="53"/>
      <c r="S39" s="53"/>
      <c r="T39" s="53"/>
      <c r="U39" s="97"/>
      <c r="V39" s="53"/>
      <c r="W39" s="53"/>
      <c r="X39" s="53"/>
      <c r="Y39" s="8"/>
      <c r="Z39" s="97"/>
      <c r="AA39" s="8"/>
      <c r="AB39" s="8"/>
      <c r="AC39" s="8"/>
      <c r="AD39" s="8"/>
      <c r="AE39" s="97"/>
      <c r="AF39" s="8"/>
    </row>
    <row r="40" spans="1:32" ht="13.95" customHeight="1" x14ac:dyDescent="0.3">
      <c r="A40" s="15" t="s">
        <v>53</v>
      </c>
      <c r="B40" s="43">
        <v>81</v>
      </c>
      <c r="C40" s="43">
        <v>168.29999999999998</v>
      </c>
      <c r="D40" s="43">
        <v>127.6</v>
      </c>
      <c r="E40" s="56">
        <f>+D41</f>
        <v>145.29999999999998</v>
      </c>
      <c r="F40" s="101">
        <v>81</v>
      </c>
      <c r="G40" s="57">
        <f>+F41</f>
        <v>120.60000000000002</v>
      </c>
      <c r="H40" s="57">
        <f>+G41</f>
        <v>184.8</v>
      </c>
      <c r="I40" s="57">
        <f>+H41</f>
        <v>216.5</v>
      </c>
      <c r="J40" s="57">
        <f>+I41</f>
        <v>170.6</v>
      </c>
      <c r="K40" s="101">
        <f>+F41</f>
        <v>120.60000000000002</v>
      </c>
      <c r="L40" s="57">
        <v>150.89999999999998</v>
      </c>
      <c r="M40" s="57">
        <v>110.8</v>
      </c>
      <c r="N40" s="57">
        <f>+M41</f>
        <v>123.29999999999998</v>
      </c>
      <c r="O40" s="57">
        <f t="shared" ref="O40:Q40" si="23">+N41</f>
        <v>186.59999999999997</v>
      </c>
      <c r="P40" s="101">
        <f>+K41</f>
        <v>150.89999999999998</v>
      </c>
      <c r="Q40" s="57">
        <f t="shared" si="23"/>
        <v>210.79999999999998</v>
      </c>
      <c r="R40" s="57">
        <v>166.39999999999998</v>
      </c>
      <c r="S40" s="57">
        <v>233.5</v>
      </c>
      <c r="T40" s="57">
        <f>+S41</f>
        <v>197.7</v>
      </c>
      <c r="U40" s="101">
        <f>+P41</f>
        <v>210.79999999999998</v>
      </c>
      <c r="V40" s="57">
        <v>194.20000000000007</v>
      </c>
      <c r="W40" s="57">
        <v>150.10000000000008</v>
      </c>
      <c r="X40" s="57">
        <v>244.2</v>
      </c>
      <c r="Y40" s="8">
        <v>209.8</v>
      </c>
      <c r="Z40" s="101">
        <v>194.20000000000007</v>
      </c>
      <c r="AA40" s="8">
        <v>221.8</v>
      </c>
      <c r="AB40" s="8">
        <f>AA41</f>
        <v>286.89999999999998</v>
      </c>
      <c r="AC40" s="8">
        <v>192.89999999999998</v>
      </c>
      <c r="AD40" s="8">
        <v>259.3</v>
      </c>
      <c r="AE40" s="101">
        <v>221.80000000000021</v>
      </c>
      <c r="AF40" s="8">
        <v>150.5</v>
      </c>
    </row>
    <row r="41" spans="1:32" ht="13.95" customHeight="1" x14ac:dyDescent="0.3">
      <c r="A41" s="16" t="s">
        <v>54</v>
      </c>
      <c r="B41" s="34">
        <f t="shared" ref="B41:F41" si="24">SUM(B38:B40)</f>
        <v>168.3</v>
      </c>
      <c r="C41" s="34">
        <v>127.6</v>
      </c>
      <c r="D41" s="34">
        <v>145.29999999999998</v>
      </c>
      <c r="E41" s="34">
        <f>+E38+E40</f>
        <v>120.6</v>
      </c>
      <c r="F41" s="98">
        <f t="shared" si="24"/>
        <v>120.60000000000002</v>
      </c>
      <c r="G41" s="48">
        <f t="shared" ref="G41:H41" si="25">SUM(G38:G40)</f>
        <v>184.8</v>
      </c>
      <c r="H41" s="48">
        <f t="shared" si="25"/>
        <v>216.5</v>
      </c>
      <c r="I41" s="48">
        <f t="shared" ref="I41:J41" si="26">SUM(I38:I40)</f>
        <v>170.6</v>
      </c>
      <c r="J41" s="48">
        <f t="shared" si="26"/>
        <v>150.89999999999998</v>
      </c>
      <c r="K41" s="98">
        <f>+K38+K40</f>
        <v>150.89999999999998</v>
      </c>
      <c r="L41" s="48">
        <v>110.8</v>
      </c>
      <c r="M41" s="48">
        <v>123.29999999999998</v>
      </c>
      <c r="N41" s="48">
        <f t="shared" ref="N41:P41" si="27">SUM(N38:N40)</f>
        <v>186.59999999999997</v>
      </c>
      <c r="O41" s="48">
        <f t="shared" si="27"/>
        <v>210.79999999999998</v>
      </c>
      <c r="P41" s="98">
        <f t="shared" si="27"/>
        <v>210.79999999999998</v>
      </c>
      <c r="Q41" s="48">
        <f t="shared" ref="Q41:U41" si="28">SUM(Q38:Q40)</f>
        <v>166.39999999999998</v>
      </c>
      <c r="R41" s="48">
        <v>233.5</v>
      </c>
      <c r="S41" s="48">
        <v>197.7</v>
      </c>
      <c r="T41" s="48">
        <f>+T38+T40</f>
        <v>194.20000000000002</v>
      </c>
      <c r="U41" s="98">
        <f t="shared" si="28"/>
        <v>194.20000000000007</v>
      </c>
      <c r="V41" s="48">
        <v>150.10000000000008</v>
      </c>
      <c r="W41" s="48">
        <v>244.20000000000007</v>
      </c>
      <c r="X41" s="48">
        <v>209.8</v>
      </c>
      <c r="Y41" s="34">
        <v>221.8</v>
      </c>
      <c r="Z41" s="98">
        <f t="shared" ref="Z41:AE41" si="29">Z38+Z40</f>
        <v>221.80000000000021</v>
      </c>
      <c r="AA41" s="34">
        <f t="shared" si="29"/>
        <v>286.89999999999998</v>
      </c>
      <c r="AB41" s="34">
        <f t="shared" si="29"/>
        <v>192.89999999999998</v>
      </c>
      <c r="AC41" s="34">
        <f t="shared" si="29"/>
        <v>259.29999999999995</v>
      </c>
      <c r="AD41" s="34">
        <f t="shared" si="29"/>
        <v>150.50000000000006</v>
      </c>
      <c r="AE41" s="98">
        <f t="shared" si="29"/>
        <v>150.50000000000017</v>
      </c>
      <c r="AF41" s="34">
        <f t="shared" ref="AF41" si="30">AF38+AF40</f>
        <v>160.49999999999997</v>
      </c>
    </row>
    <row r="42" spans="1:32" ht="13.95" customHeight="1" x14ac:dyDescent="0.3">
      <c r="Y42" s="65"/>
      <c r="AA42" s="65"/>
      <c r="AB42" s="65"/>
      <c r="AC42" s="65"/>
      <c r="AD42" s="65"/>
      <c r="AF42" s="65"/>
    </row>
    <row r="43" spans="1:32" ht="13.95" customHeight="1" x14ac:dyDescent="0.3">
      <c r="A43" s="82"/>
    </row>
  </sheetData>
  <phoneticPr fontId="8" type="noConversion"/>
  <printOptions horizontalCentered="1"/>
  <pageMargins left="0.70866141732283505" right="0.70866141732283505" top="0.74803149606299202" bottom="0.74803149606299202" header="0.31496062992126" footer="0.31496062992126"/>
  <pageSetup scale="91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0AA84F821B541B534BDCAEBE2B737" ma:contentTypeVersion="19" ma:contentTypeDescription="Create a new document." ma:contentTypeScope="" ma:versionID="de3d3d019cf76466a6783bfa5833d12a">
  <xsd:schema xmlns:xsd="http://www.w3.org/2001/XMLSchema" xmlns:xs="http://www.w3.org/2001/XMLSchema" xmlns:p="http://schemas.microsoft.com/office/2006/metadata/properties" xmlns:ns2="454795be-ab46-46ac-806d-6767dccf4352" xmlns:ns3="a512f2e7-650c-4b0d-96dd-862138d07b2b" targetNamespace="http://schemas.microsoft.com/office/2006/metadata/properties" ma:root="true" ma:fieldsID="46a59cb3d00318d0ae55290a214bc8e4" ns2:_="" ns3:_="">
    <xsd:import namespace="454795be-ab46-46ac-806d-6767dccf4352"/>
    <xsd:import namespace="a512f2e7-650c-4b0d-96dd-862138d07b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795be-ab46-46ac-806d-6767dccf43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f1c041a-d327-41ff-b195-7a6a669727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2f2e7-650c-4b0d-96dd-862138d07b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4f28ef1-b806-4cbe-b9cc-c518a139d6ab}" ma:internalName="TaxCatchAll" ma:showField="CatchAllData" ma:web="a512f2e7-650c-4b0d-96dd-862138d07b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4795be-ab46-46ac-806d-6767dccf4352">
      <Terms xmlns="http://schemas.microsoft.com/office/infopath/2007/PartnerControls"/>
    </lcf76f155ced4ddcb4097134ff3c332f>
    <TaxCatchAll xmlns="a512f2e7-650c-4b0d-96dd-862138d07b2b" xsi:nil="true"/>
    <SharedWithUsers xmlns="a512f2e7-650c-4b0d-96dd-862138d07b2b">
      <UserInfo>
        <DisplayName>Luiz Mendes</DisplayName>
        <AccountId>26</AccountId>
        <AccountType/>
      </UserInfo>
      <UserInfo>
        <DisplayName>Nicolai Saethre</DisplayName>
        <AccountId>436</AccountId>
        <AccountType/>
      </UserInfo>
    </SharedWithUsers>
  </documentManagement>
</p:properti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23D9E05F-6B77-40E2-9B5D-22149AE0D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4795be-ab46-46ac-806d-6767dccf4352"/>
    <ds:schemaRef ds:uri="a512f2e7-650c-4b0d-96dd-862138d07b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AB83F5-B8B4-4C00-9EA1-B928138355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150480-7E97-4409-81E4-DD467FF8A0F7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333bc73e-c9dc-48db-aced-bf36dbeb209b"/>
    <ds:schemaRef ds:uri="5e099e1a-1e6a-4bdc-8624-f7e9c6c9fbf5"/>
    <ds:schemaRef ds:uri="http://schemas.microsoft.com/office/2006/metadata/properties"/>
    <ds:schemaRef ds:uri="http://purl.org/dc/elements/1.1/"/>
    <ds:schemaRef ds:uri="454795be-ab46-46ac-806d-6767dccf4352"/>
    <ds:schemaRef ds:uri="a512f2e7-650c-4b0d-96dd-862138d07b2b"/>
  </ds:schemaRefs>
</ds:datastoreItem>
</file>

<file path=customXml/itemProps4.xml><?xml version="1.0" encoding="utf-8"?>
<ds:datastoreItem xmlns:ds="http://schemas.openxmlformats.org/officeDocument/2006/customXml" ds:itemID="{06D10D28-1D2F-4607-B9E7-463038DA0491}">
  <ds:schemaRefs>
    <ds:schemaRef ds:uri="http://schemas.microsoft.com/PowerBIAddIn"/>
    <ds:schemaRef ds:uri="http://www.w3.org/2000/xmln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Income statement</vt:lpstr>
      <vt:lpstr>Balance sheet</vt:lpstr>
      <vt:lpstr>Cashflow</vt:lpstr>
      <vt:lpstr>'Balance sheet'!Print_Area</vt:lpstr>
      <vt:lpstr>Cashflow!Print_Area</vt:lpstr>
      <vt:lpstr>'Income statement'!Print_Area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2025-01-23T00:08:38Z</dcterms:created>
  <dcterms:modified xsi:type="dcterms:W3CDTF">2026-05-16T10:17:31Z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0x0101000770AA84F821B541B534BDCAEBE2B737</vt:lpwstr>
  </property>
</Properties>
</file>